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420" windowWidth="16890" windowHeight="8130" activeTab="1"/>
  </bookViews>
  <sheets>
    <sheet name="lisa 1" sheetId="1" r:id="rId1"/>
    <sheet name="lisa 2" sheetId="6" r:id="rId2"/>
    <sheet name="detailne info tegevusalade kulu" sheetId="2" r:id="rId3"/>
    <sheet name="detailne info tulud" sheetId="3" r:id="rId4"/>
    <sheet name="laenud" sheetId="4" r:id="rId5"/>
  </sheets>
  <externalReferences>
    <externalReference r:id="rId6"/>
  </externalReferences>
  <definedNames>
    <definedName name="_xlnm._FilterDatabase" localSheetId="2" hidden="1">'detailne info tegevusalade kulu'!$A$7:$G$7</definedName>
    <definedName name="_xlnm._FilterDatabase" localSheetId="1" hidden="1">'lisa 2'!$A$4:$F$300</definedName>
    <definedName name="_xlnm.Print_Titles" localSheetId="2">'detailne info tegevusalade kulu'!$7:$7</definedName>
    <definedName name="_xlnm.Print_Titles" localSheetId="3">'detailne info tulud'!$3:$3</definedName>
    <definedName name="_xlnm.Print_Titles" localSheetId="1">'lisa 2'!$4:$4</definedName>
  </definedNames>
  <calcPr calcId="145621"/>
</workbook>
</file>

<file path=xl/calcChain.xml><?xml version="1.0" encoding="utf-8"?>
<calcChain xmlns="http://schemas.openxmlformats.org/spreadsheetml/2006/main">
  <c r="F12" i="4" l="1"/>
  <c r="E12" i="4"/>
  <c r="B12" i="4"/>
  <c r="C11" i="4"/>
  <c r="G11" i="4" s="1"/>
  <c r="C10" i="4"/>
  <c r="G10" i="4" s="1"/>
  <c r="C9" i="4"/>
  <c r="G9" i="4" s="1"/>
  <c r="C8" i="4"/>
  <c r="G8" i="4" s="1"/>
  <c r="C7" i="4"/>
  <c r="G7" i="4" s="1"/>
  <c r="C6" i="4"/>
  <c r="G6" i="4" s="1"/>
  <c r="C5" i="4"/>
  <c r="G5" i="4" s="1"/>
  <c r="C4" i="4"/>
  <c r="G4" i="4" s="1"/>
  <c r="G12" i="4" s="1"/>
  <c r="C3" i="4"/>
  <c r="F155" i="3" l="1"/>
  <c r="F154" i="3" s="1"/>
  <c r="E154" i="3"/>
  <c r="D154" i="3"/>
  <c r="F153" i="3"/>
  <c r="F152" i="3"/>
  <c r="F151" i="3"/>
  <c r="F150" i="3"/>
  <c r="F149" i="3"/>
  <c r="E149" i="3"/>
  <c r="D149" i="3"/>
  <c r="D146" i="3" s="1"/>
  <c r="F148" i="3"/>
  <c r="F147" i="3"/>
  <c r="F146" i="3" s="1"/>
  <c r="E146" i="3"/>
  <c r="F145" i="3"/>
  <c r="F144" i="3"/>
  <c r="F143" i="3"/>
  <c r="E142" i="3"/>
  <c r="F142" i="3" s="1"/>
  <c r="E141" i="3"/>
  <c r="F141" i="3" s="1"/>
  <c r="F140" i="3"/>
  <c r="E140" i="3"/>
  <c r="F139" i="3"/>
  <c r="E138" i="3"/>
  <c r="F138" i="3" s="1"/>
  <c r="F137" i="3"/>
  <c r="F136" i="3" s="1"/>
  <c r="E137" i="3"/>
  <c r="E136" i="3"/>
  <c r="D136" i="3"/>
  <c r="E135" i="3"/>
  <c r="F135" i="3" s="1"/>
  <c r="F134" i="3"/>
  <c r="E133" i="3"/>
  <c r="F133" i="3" s="1"/>
  <c r="E132" i="3"/>
  <c r="F132" i="3" s="1"/>
  <c r="E131" i="3"/>
  <c r="F131" i="3" s="1"/>
  <c r="F130" i="3"/>
  <c r="E130" i="3"/>
  <c r="E129" i="3"/>
  <c r="F129" i="3" s="1"/>
  <c r="E128" i="3"/>
  <c r="F128" i="3" s="1"/>
  <c r="D127" i="3"/>
  <c r="D126" i="3"/>
  <c r="E125" i="3"/>
  <c r="F125" i="3" s="1"/>
  <c r="D124" i="3"/>
  <c r="F122" i="3"/>
  <c r="F121" i="3"/>
  <c r="F120" i="3"/>
  <c r="F119" i="3"/>
  <c r="F118" i="3" s="1"/>
  <c r="E119" i="3"/>
  <c r="D119" i="3"/>
  <c r="D118" i="3" s="1"/>
  <c r="D104" i="3" s="1"/>
  <c r="E118" i="3"/>
  <c r="F117" i="3"/>
  <c r="E116" i="3"/>
  <c r="F116" i="3" s="1"/>
  <c r="F115" i="3"/>
  <c r="F114" i="3"/>
  <c r="F113" i="3"/>
  <c r="F112" i="3"/>
  <c r="F111" i="3"/>
  <c r="F110" i="3"/>
  <c r="F109" i="3"/>
  <c r="E108" i="3"/>
  <c r="F108" i="3" s="1"/>
  <c r="F107" i="3"/>
  <c r="F106" i="3" s="1"/>
  <c r="F105" i="3" s="1"/>
  <c r="E107" i="3"/>
  <c r="E106" i="3"/>
  <c r="D106" i="3"/>
  <c r="E105" i="3"/>
  <c r="D105" i="3"/>
  <c r="F103" i="3"/>
  <c r="F102" i="3"/>
  <c r="E101" i="3"/>
  <c r="D101" i="3"/>
  <c r="F100" i="3"/>
  <c r="F99" i="3"/>
  <c r="E98" i="3"/>
  <c r="D98" i="3"/>
  <c r="F97" i="3"/>
  <c r="F96" i="3"/>
  <c r="F95" i="3"/>
  <c r="F94" i="3"/>
  <c r="F93" i="3"/>
  <c r="F92" i="3"/>
  <c r="F91" i="3"/>
  <c r="D90" i="3"/>
  <c r="F90" i="3" s="1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E75" i="3"/>
  <c r="D75" i="3"/>
  <c r="F74" i="3"/>
  <c r="F73" i="3"/>
  <c r="F72" i="3"/>
  <c r="F71" i="3"/>
  <c r="F70" i="3"/>
  <c r="F69" i="3"/>
  <c r="F68" i="3"/>
  <c r="F67" i="3"/>
  <c r="F66" i="3"/>
  <c r="F65" i="3"/>
  <c r="F63" i="3" s="1"/>
  <c r="F64" i="3"/>
  <c r="E63" i="3"/>
  <c r="D63" i="3"/>
  <c r="F62" i="3"/>
  <c r="F61" i="3"/>
  <c r="F60" i="3"/>
  <c r="F59" i="3"/>
  <c r="F58" i="3"/>
  <c r="F57" i="3"/>
  <c r="F56" i="3"/>
  <c r="F55" i="3" s="1"/>
  <c r="F54" i="3" s="1"/>
  <c r="E55" i="3"/>
  <c r="D55" i="3"/>
  <c r="D54" i="3" s="1"/>
  <c r="F53" i="3"/>
  <c r="F52" i="3" s="1"/>
  <c r="E52" i="3"/>
  <c r="D52" i="3"/>
  <c r="E51" i="3"/>
  <c r="F51" i="3" s="1"/>
  <c r="F50" i="3"/>
  <c r="F49" i="3"/>
  <c r="F48" i="3"/>
  <c r="F47" i="3"/>
  <c r="F46" i="3"/>
  <c r="E45" i="3"/>
  <c r="D45" i="3"/>
  <c r="F44" i="3"/>
  <c r="E43" i="3"/>
  <c r="F43" i="3" s="1"/>
  <c r="F39" i="3" s="1"/>
  <c r="F42" i="3"/>
  <c r="F41" i="3"/>
  <c r="F40" i="3"/>
  <c r="D39" i="3"/>
  <c r="D25" i="3" s="1"/>
  <c r="E38" i="3"/>
  <c r="F38" i="3" s="1"/>
  <c r="F37" i="3"/>
  <c r="F36" i="3"/>
  <c r="F35" i="3"/>
  <c r="F34" i="3"/>
  <c r="F33" i="3"/>
  <c r="F32" i="3"/>
  <c r="F31" i="3"/>
  <c r="F30" i="3"/>
  <c r="F29" i="3"/>
  <c r="F28" i="3"/>
  <c r="F27" i="3"/>
  <c r="E26" i="3"/>
  <c r="D26" i="3"/>
  <c r="F24" i="3"/>
  <c r="F23" i="3"/>
  <c r="F22" i="3" s="1"/>
  <c r="F14" i="3" s="1"/>
  <c r="E22" i="3"/>
  <c r="D22" i="3"/>
  <c r="D14" i="3" s="1"/>
  <c r="F21" i="3"/>
  <c r="F20" i="3"/>
  <c r="F19" i="3"/>
  <c r="E19" i="3"/>
  <c r="F18" i="3"/>
  <c r="F17" i="3"/>
  <c r="F16" i="3"/>
  <c r="F15" i="3"/>
  <c r="E14" i="3"/>
  <c r="F13" i="3"/>
  <c r="F11" i="3"/>
  <c r="F10" i="3"/>
  <c r="F9" i="3"/>
  <c r="E8" i="3"/>
  <c r="D8" i="3"/>
  <c r="F7" i="3"/>
  <c r="E6" i="3"/>
  <c r="D6" i="3"/>
  <c r="E5" i="3"/>
  <c r="E4" i="3" s="1"/>
  <c r="F4" i="3" s="1"/>
  <c r="D4" i="3"/>
  <c r="F1351" i="2"/>
  <c r="F1350" i="2" s="1"/>
  <c r="F1349" i="2" s="1"/>
  <c r="F1348" i="2" s="1"/>
  <c r="E1350" i="2"/>
  <c r="E1349" i="2" s="1"/>
  <c r="E1348" i="2" s="1"/>
  <c r="D1350" i="2"/>
  <c r="D1349" i="2" s="1"/>
  <c r="D1348" i="2" s="1"/>
  <c r="F1347" i="2"/>
  <c r="F1346" i="2" s="1"/>
  <c r="F1345" i="2" s="1"/>
  <c r="E1346" i="2"/>
  <c r="E1345" i="2" s="1"/>
  <c r="D1346" i="2"/>
  <c r="D1345" i="2" s="1"/>
  <c r="F1344" i="2"/>
  <c r="F1343" i="2"/>
  <c r="E1342" i="2"/>
  <c r="F1342" i="2" s="1"/>
  <c r="F1341" i="2"/>
  <c r="F1340" i="2"/>
  <c r="F1339" i="2"/>
  <c r="F1338" i="2"/>
  <c r="F1337" i="2"/>
  <c r="F1336" i="2"/>
  <c r="E1335" i="2"/>
  <c r="D1335" i="2"/>
  <c r="F1334" i="2"/>
  <c r="F1333" i="2"/>
  <c r="E1332" i="2"/>
  <c r="D1332" i="2"/>
  <c r="E1331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E1314" i="2"/>
  <c r="E1310" i="2" s="1"/>
  <c r="D1314" i="2"/>
  <c r="F1313" i="2"/>
  <c r="F1312" i="2"/>
  <c r="F1311" i="2"/>
  <c r="D1310" i="2"/>
  <c r="E1309" i="2"/>
  <c r="F1309" i="2" s="1"/>
  <c r="E1308" i="2"/>
  <c r="F1308" i="2" s="1"/>
  <c r="F1307" i="2"/>
  <c r="D1306" i="2"/>
  <c r="D1305" i="2" s="1"/>
  <c r="F1304" i="2"/>
  <c r="F1303" i="2" s="1"/>
  <c r="F1302" i="2" s="1"/>
  <c r="E1303" i="2"/>
  <c r="E1302" i="2" s="1"/>
  <c r="D1303" i="2"/>
  <c r="D1302" i="2" s="1"/>
  <c r="F1301" i="2"/>
  <c r="F1300" i="2" s="1"/>
  <c r="F1299" i="2" s="1"/>
  <c r="E1300" i="2"/>
  <c r="D1300" i="2"/>
  <c r="D1299" i="2" s="1"/>
  <c r="E1299" i="2"/>
  <c r="F1297" i="2"/>
  <c r="F1296" i="2"/>
  <c r="F1295" i="2"/>
  <c r="E1294" i="2"/>
  <c r="D1294" i="2"/>
  <c r="F1293" i="2"/>
  <c r="F1292" i="2"/>
  <c r="F1291" i="2"/>
  <c r="E1290" i="2"/>
  <c r="D1290" i="2"/>
  <c r="F1287" i="2"/>
  <c r="F1286" i="2" s="1"/>
  <c r="F1285" i="2" s="1"/>
  <c r="F1284" i="2" s="1"/>
  <c r="E1286" i="2"/>
  <c r="E1285" i="2" s="1"/>
  <c r="E1284" i="2" s="1"/>
  <c r="D1286" i="2"/>
  <c r="D1285" i="2" s="1"/>
  <c r="D1284" i="2" s="1"/>
  <c r="F1283" i="2"/>
  <c r="F1282" i="2" s="1"/>
  <c r="F1281" i="2" s="1"/>
  <c r="F1280" i="2" s="1"/>
  <c r="E1282" i="2"/>
  <c r="E1281" i="2" s="1"/>
  <c r="E1280" i="2" s="1"/>
  <c r="D1282" i="2"/>
  <c r="D1281" i="2" s="1"/>
  <c r="D1280" i="2" s="1"/>
  <c r="F1279" i="2"/>
  <c r="F1278" i="2" s="1"/>
  <c r="F1277" i="2" s="1"/>
  <c r="F1276" i="2" s="1"/>
  <c r="E1278" i="2"/>
  <c r="E1277" i="2" s="1"/>
  <c r="E1276" i="2" s="1"/>
  <c r="D1278" i="2"/>
  <c r="D1277" i="2" s="1"/>
  <c r="D1276" i="2" s="1"/>
  <c r="F1275" i="2"/>
  <c r="F1274" i="2" s="1"/>
  <c r="E1274" i="2"/>
  <c r="D1274" i="2"/>
  <c r="F1273" i="2"/>
  <c r="F1272" i="2"/>
  <c r="E1271" i="2"/>
  <c r="D1271" i="2"/>
  <c r="F1268" i="2"/>
  <c r="F1267" i="2"/>
  <c r="F1266" i="2"/>
  <c r="F1265" i="2"/>
  <c r="F1264" i="2"/>
  <c r="F1263" i="2"/>
  <c r="E1263" i="2"/>
  <c r="E1262" i="2"/>
  <c r="D1262" i="2"/>
  <c r="D1261" i="2" s="1"/>
  <c r="E1261" i="2"/>
  <c r="F1260" i="2"/>
  <c r="E1260" i="2"/>
  <c r="F1259" i="2"/>
  <c r="E1259" i="2"/>
  <c r="F1258" i="2"/>
  <c r="F1257" i="2" s="1"/>
  <c r="F1256" i="2" s="1"/>
  <c r="E1257" i="2"/>
  <c r="E1256" i="2" s="1"/>
  <c r="D1257" i="2"/>
  <c r="D1256" i="2" s="1"/>
  <c r="D1252" i="2" s="1"/>
  <c r="F1255" i="2"/>
  <c r="F1254" i="2" s="1"/>
  <c r="F1253" i="2" s="1"/>
  <c r="E1254" i="2"/>
  <c r="D1254" i="2"/>
  <c r="D1253" i="2" s="1"/>
  <c r="E1253" i="2"/>
  <c r="E1252" i="2" s="1"/>
  <c r="F1251" i="2"/>
  <c r="F1250" i="2"/>
  <c r="F1249" i="2"/>
  <c r="F1248" i="2"/>
  <c r="F1247" i="2"/>
  <c r="F1246" i="2"/>
  <c r="F1245" i="2"/>
  <c r="E1244" i="2"/>
  <c r="D1244" i="2"/>
  <c r="D1243" i="2" s="1"/>
  <c r="D1242" i="2" s="1"/>
  <c r="E1243" i="2"/>
  <c r="E1242" i="2" s="1"/>
  <c r="F1241" i="2"/>
  <c r="F1240" i="2" s="1"/>
  <c r="F1239" i="2" s="1"/>
  <c r="E1240" i="2"/>
  <c r="D1240" i="2"/>
  <c r="D1239" i="2" s="1"/>
  <c r="E1239" i="2"/>
  <c r="E1238" i="2" s="1"/>
  <c r="D1238" i="2"/>
  <c r="F1237" i="2"/>
  <c r="F1236" i="2"/>
  <c r="F1235" i="2"/>
  <c r="F1234" i="2"/>
  <c r="F1233" i="2"/>
  <c r="F1232" i="2"/>
  <c r="F1231" i="2"/>
  <c r="F1230" i="2"/>
  <c r="F1229" i="2"/>
  <c r="F1228" i="2"/>
  <c r="F1227" i="2"/>
  <c r="E1226" i="2"/>
  <c r="E1224" i="2" s="1"/>
  <c r="D1226" i="2"/>
  <c r="F1225" i="2"/>
  <c r="D1224" i="2"/>
  <c r="F1223" i="2"/>
  <c r="F1222" i="2"/>
  <c r="E1221" i="2"/>
  <c r="D1221" i="2"/>
  <c r="D1220" i="2" s="1"/>
  <c r="F1219" i="2"/>
  <c r="F1218" i="2" s="1"/>
  <c r="F1217" i="2" s="1"/>
  <c r="E1218" i="2"/>
  <c r="E1217" i="2" s="1"/>
  <c r="D1218" i="2"/>
  <c r="D1217" i="2" s="1"/>
  <c r="F1215" i="2"/>
  <c r="F1214" i="2" s="1"/>
  <c r="F1213" i="2" s="1"/>
  <c r="F1212" i="2" s="1"/>
  <c r="E1214" i="2"/>
  <c r="D1214" i="2"/>
  <c r="D1213" i="2" s="1"/>
  <c r="D1212" i="2" s="1"/>
  <c r="E1213" i="2"/>
  <c r="E1212" i="2" s="1"/>
  <c r="F1211" i="2"/>
  <c r="F1210" i="2" s="1"/>
  <c r="E1210" i="2"/>
  <c r="D1210" i="2"/>
  <c r="D1209" i="2"/>
  <c r="F1209" i="2" s="1"/>
  <c r="D1208" i="2"/>
  <c r="F1208" i="2" s="1"/>
  <c r="F1207" i="2"/>
  <c r="E1206" i="2"/>
  <c r="D1206" i="2"/>
  <c r="F1203" i="2"/>
  <c r="F1202" i="2" s="1"/>
  <c r="F1201" i="2" s="1"/>
  <c r="F1200" i="2" s="1"/>
  <c r="E1202" i="2"/>
  <c r="D1202" i="2"/>
  <c r="D1201" i="2" s="1"/>
  <c r="E1201" i="2"/>
  <c r="E1200" i="2" s="1"/>
  <c r="D1200" i="2"/>
  <c r="F1199" i="2"/>
  <c r="F1198" i="2" s="1"/>
  <c r="F1197" i="2" s="1"/>
  <c r="F1196" i="2" s="1"/>
  <c r="E1198" i="2"/>
  <c r="D1198" i="2"/>
  <c r="D1197" i="2" s="1"/>
  <c r="D1196" i="2" s="1"/>
  <c r="E1197" i="2"/>
  <c r="E1196" i="2" s="1"/>
  <c r="F1195" i="2"/>
  <c r="F1194" i="2" s="1"/>
  <c r="F1193" i="2" s="1"/>
  <c r="F1192" i="2" s="1"/>
  <c r="E1194" i="2"/>
  <c r="D1194" i="2"/>
  <c r="D1193" i="2" s="1"/>
  <c r="D1192" i="2" s="1"/>
  <c r="E1193" i="2"/>
  <c r="E1192" i="2" s="1"/>
  <c r="F1191" i="2"/>
  <c r="F1190" i="2" s="1"/>
  <c r="F1189" i="2" s="1"/>
  <c r="E1190" i="2"/>
  <c r="D1190" i="2"/>
  <c r="D1189" i="2" s="1"/>
  <c r="D1184" i="2" s="1"/>
  <c r="E1189" i="2"/>
  <c r="F1188" i="2"/>
  <c r="F1187" i="2"/>
  <c r="E1186" i="2"/>
  <c r="D1186" i="2"/>
  <c r="D1185" i="2" s="1"/>
  <c r="E1185" i="2"/>
  <c r="F1183" i="2"/>
  <c r="F1182" i="2" s="1"/>
  <c r="F1181" i="2" s="1"/>
  <c r="F1180" i="2" s="1"/>
  <c r="E1182" i="2"/>
  <c r="D1182" i="2"/>
  <c r="D1181" i="2" s="1"/>
  <c r="E1181" i="2"/>
  <c r="E1180" i="2" s="1"/>
  <c r="D1180" i="2"/>
  <c r="F1179" i="2"/>
  <c r="F1178" i="2" s="1"/>
  <c r="F1177" i="2" s="1"/>
  <c r="F1176" i="2" s="1"/>
  <c r="E1178" i="2"/>
  <c r="D1178" i="2"/>
  <c r="D1177" i="2" s="1"/>
  <c r="E1177" i="2"/>
  <c r="E1176" i="2"/>
  <c r="D1176" i="2"/>
  <c r="F1175" i="2"/>
  <c r="F1174" i="2" s="1"/>
  <c r="F1173" i="2" s="1"/>
  <c r="F1172" i="2" s="1"/>
  <c r="E1174" i="2"/>
  <c r="D1174" i="2"/>
  <c r="D1173" i="2" s="1"/>
  <c r="D1172" i="2" s="1"/>
  <c r="E1173" i="2"/>
  <c r="E1172" i="2" s="1"/>
  <c r="E1171" i="2"/>
  <c r="F1171" i="2" s="1"/>
  <c r="F1170" i="2" s="1"/>
  <c r="F1169" i="2" s="1"/>
  <c r="D1170" i="2"/>
  <c r="D1169" i="2" s="1"/>
  <c r="E1168" i="2"/>
  <c r="F1168" i="2" s="1"/>
  <c r="F1167" i="2" s="1"/>
  <c r="F1166" i="2" s="1"/>
  <c r="E1167" i="2"/>
  <c r="E1166" i="2" s="1"/>
  <c r="D1167" i="2"/>
  <c r="D1166" i="2" s="1"/>
  <c r="F1165" i="2"/>
  <c r="F1164" i="2" s="1"/>
  <c r="F1163" i="2" s="1"/>
  <c r="E1164" i="2"/>
  <c r="D1164" i="2"/>
  <c r="D1163" i="2" s="1"/>
  <c r="E1163" i="2"/>
  <c r="F1161" i="2"/>
  <c r="F1160" i="2"/>
  <c r="F1159" i="2"/>
  <c r="F1158" i="2"/>
  <c r="F1157" i="2"/>
  <c r="F1156" i="2"/>
  <c r="F1155" i="2"/>
  <c r="F1154" i="2"/>
  <c r="E1153" i="2"/>
  <c r="D1153" i="2"/>
  <c r="F1152" i="2"/>
  <c r="F1151" i="2"/>
  <c r="E1150" i="2"/>
  <c r="D1150" i="2"/>
  <c r="E1149" i="2"/>
  <c r="E1148" i="2" s="1"/>
  <c r="F1147" i="2"/>
  <c r="F1146" i="2" s="1"/>
  <c r="F1145" i="2" s="1"/>
  <c r="F1144" i="2" s="1"/>
  <c r="E1146" i="2"/>
  <c r="D1146" i="2"/>
  <c r="D1145" i="2" s="1"/>
  <c r="D1144" i="2" s="1"/>
  <c r="E1145" i="2"/>
  <c r="E1144" i="2" s="1"/>
  <c r="F1143" i="2"/>
  <c r="F1142" i="2"/>
  <c r="F1141" i="2"/>
  <c r="F1140" i="2"/>
  <c r="F1139" i="2"/>
  <c r="F1138" i="2"/>
  <c r="F1137" i="2"/>
  <c r="F1136" i="2"/>
  <c r="F1135" i="2"/>
  <c r="E1134" i="2"/>
  <c r="E1129" i="2" s="1"/>
  <c r="E1128" i="2" s="1"/>
  <c r="D1134" i="2"/>
  <c r="F1133" i="2"/>
  <c r="F1132" i="2"/>
  <c r="F1131" i="2"/>
  <c r="E1130" i="2"/>
  <c r="D1130" i="2"/>
  <c r="F1127" i="2"/>
  <c r="F1126" i="2"/>
  <c r="F1125" i="2"/>
  <c r="F1124" i="2"/>
  <c r="F1123" i="2"/>
  <c r="F1122" i="2"/>
  <c r="E1121" i="2"/>
  <c r="D1121" i="2"/>
  <c r="F1120" i="2"/>
  <c r="F1119" i="2"/>
  <c r="F1118" i="2"/>
  <c r="E1117" i="2"/>
  <c r="D1117" i="2"/>
  <c r="F1114" i="2"/>
  <c r="D1113" i="2"/>
  <c r="E1112" i="2"/>
  <c r="E1111" i="2" s="1"/>
  <c r="F1110" i="2"/>
  <c r="F1109" i="2" s="1"/>
  <c r="F1108" i="2" s="1"/>
  <c r="E1109" i="2"/>
  <c r="D1109" i="2"/>
  <c r="D1108" i="2" s="1"/>
  <c r="E1108" i="2"/>
  <c r="E1107" i="2" s="1"/>
  <c r="F1106" i="2"/>
  <c r="F1105" i="2"/>
  <c r="E1104" i="2"/>
  <c r="E1103" i="2" s="1"/>
  <c r="D1104" i="2"/>
  <c r="D1103" i="2" s="1"/>
  <c r="D1102" i="2" s="1"/>
  <c r="E1102" i="2"/>
  <c r="F1101" i="2"/>
  <c r="F1100" i="2" s="1"/>
  <c r="F1099" i="2" s="1"/>
  <c r="E1100" i="2"/>
  <c r="E1099" i="2" s="1"/>
  <c r="D1100" i="2"/>
  <c r="D1099" i="2" s="1"/>
  <c r="F1098" i="2"/>
  <c r="F1097" i="2"/>
  <c r="F1096" i="2"/>
  <c r="E1095" i="2"/>
  <c r="D1095" i="2"/>
  <c r="D1094" i="2" s="1"/>
  <c r="E1094" i="2"/>
  <c r="F1092" i="2"/>
  <c r="F1091" i="2" s="1"/>
  <c r="F1090" i="2" s="1"/>
  <c r="E1091" i="2"/>
  <c r="D1091" i="2"/>
  <c r="D1090" i="2" s="1"/>
  <c r="E1090" i="2"/>
  <c r="F1089" i="2"/>
  <c r="F1088" i="2" s="1"/>
  <c r="E1088" i="2"/>
  <c r="D1088" i="2"/>
  <c r="F1087" i="2"/>
  <c r="F1086" i="2" s="1"/>
  <c r="E1086" i="2"/>
  <c r="D1086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E1071" i="2"/>
  <c r="E1069" i="2" s="1"/>
  <c r="D1071" i="2"/>
  <c r="D1069" i="2" s="1"/>
  <c r="F1070" i="2"/>
  <c r="F1068" i="2"/>
  <c r="F1067" i="2"/>
  <c r="E1066" i="2"/>
  <c r="D1066" i="2"/>
  <c r="F1062" i="2"/>
  <c r="F1061" i="2"/>
  <c r="F1060" i="2"/>
  <c r="F1059" i="2"/>
  <c r="F1058" i="2"/>
  <c r="F1057" i="2"/>
  <c r="F1056" i="2"/>
  <c r="F1055" i="2"/>
  <c r="F1054" i="2"/>
  <c r="E1053" i="2"/>
  <c r="D1053" i="2"/>
  <c r="D1052" i="2" s="1"/>
  <c r="E1052" i="2"/>
  <c r="F1051" i="2"/>
  <c r="F1050" i="2" s="1"/>
  <c r="F1049" i="2" s="1"/>
  <c r="E1050" i="2"/>
  <c r="E1049" i="2" s="1"/>
  <c r="D1050" i="2"/>
  <c r="D1049" i="2" s="1"/>
  <c r="D1048" i="2" s="1"/>
  <c r="E1048" i="2"/>
  <c r="F1047" i="2"/>
  <c r="F1046" i="2"/>
  <c r="F1045" i="2"/>
  <c r="F1044" i="2"/>
  <c r="F1043" i="2"/>
  <c r="F1042" i="2"/>
  <c r="F1041" i="2"/>
  <c r="E1040" i="2"/>
  <c r="D1040" i="2"/>
  <c r="F1039" i="2"/>
  <c r="E1039" i="2"/>
  <c r="F1038" i="2"/>
  <c r="F1037" i="2" s="1"/>
  <c r="E1037" i="2"/>
  <c r="D1037" i="2"/>
  <c r="F1033" i="2"/>
  <c r="F1032" i="2"/>
  <c r="F1031" i="2"/>
  <c r="F1030" i="2"/>
  <c r="E1029" i="2"/>
  <c r="E1028" i="2" s="1"/>
  <c r="E1027" i="2" s="1"/>
  <c r="D1029" i="2"/>
  <c r="D1028" i="2" s="1"/>
  <c r="D1027" i="2" s="1"/>
  <c r="F1026" i="2"/>
  <c r="F1025" i="2" s="1"/>
  <c r="F1024" i="2" s="1"/>
  <c r="F1023" i="2" s="1"/>
  <c r="E1025" i="2"/>
  <c r="E1024" i="2" s="1"/>
  <c r="D1025" i="2"/>
  <c r="D1024" i="2" s="1"/>
  <c r="D1023" i="2" s="1"/>
  <c r="E1023" i="2"/>
  <c r="F1022" i="2"/>
  <c r="F1021" i="2" s="1"/>
  <c r="F1020" i="2" s="1"/>
  <c r="F1019" i="2" s="1"/>
  <c r="E1021" i="2"/>
  <c r="E1020" i="2" s="1"/>
  <c r="E1019" i="2" s="1"/>
  <c r="D1021" i="2"/>
  <c r="D1020" i="2" s="1"/>
  <c r="D1019" i="2" s="1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 s="1"/>
  <c r="E1002" i="2"/>
  <c r="D1002" i="2"/>
  <c r="D998" i="2" s="1"/>
  <c r="F1001" i="2"/>
  <c r="F1000" i="2"/>
  <c r="F999" i="2"/>
  <c r="E998" i="2"/>
  <c r="E993" i="2" s="1"/>
  <c r="E992" i="2" s="1"/>
  <c r="F997" i="2"/>
  <c r="F996" i="2"/>
  <c r="F995" i="2"/>
  <c r="F994" i="2" s="1"/>
  <c r="E994" i="2"/>
  <c r="D994" i="2"/>
  <c r="F991" i="2"/>
  <c r="F990" i="2"/>
  <c r="E990" i="2"/>
  <c r="F989" i="2"/>
  <c r="F988" i="2"/>
  <c r="F987" i="2"/>
  <c r="F986" i="2"/>
  <c r="F985" i="2"/>
  <c r="F984" i="2"/>
  <c r="F983" i="2"/>
  <c r="F982" i="2"/>
  <c r="E981" i="2"/>
  <c r="E977" i="2" s="1"/>
  <c r="D981" i="2"/>
  <c r="F980" i="2"/>
  <c r="F979" i="2"/>
  <c r="F978" i="2"/>
  <c r="D977" i="2"/>
  <c r="F976" i="2"/>
  <c r="F975" i="2"/>
  <c r="F974" i="2"/>
  <c r="E973" i="2"/>
  <c r="D973" i="2"/>
  <c r="F970" i="2"/>
  <c r="F969" i="2" s="1"/>
  <c r="F968" i="2" s="1"/>
  <c r="F967" i="2" s="1"/>
  <c r="E969" i="2"/>
  <c r="D969" i="2"/>
  <c r="D968" i="2" s="1"/>
  <c r="E968" i="2"/>
  <c r="E967" i="2" s="1"/>
  <c r="D967" i="2"/>
  <c r="F966" i="2"/>
  <c r="F965" i="2" s="1"/>
  <c r="F964" i="2" s="1"/>
  <c r="F963" i="2" s="1"/>
  <c r="E965" i="2"/>
  <c r="E964" i="2" s="1"/>
  <c r="E963" i="2" s="1"/>
  <c r="D965" i="2"/>
  <c r="D964" i="2" s="1"/>
  <c r="D963" i="2" s="1"/>
  <c r="F962" i="2"/>
  <c r="F961" i="2"/>
  <c r="F960" i="2"/>
  <c r="F959" i="2" s="1"/>
  <c r="E959" i="2"/>
  <c r="E955" i="2" s="1"/>
  <c r="E950" i="2" s="1"/>
  <c r="E949" i="2" s="1"/>
  <c r="D959" i="2"/>
  <c r="D955" i="2" s="1"/>
  <c r="F958" i="2"/>
  <c r="F957" i="2"/>
  <c r="F956" i="2"/>
  <c r="F954" i="2"/>
  <c r="F953" i="2"/>
  <c r="E953" i="2"/>
  <c r="D952" i="2"/>
  <c r="F952" i="2" s="1"/>
  <c r="E951" i="2"/>
  <c r="D951" i="2"/>
  <c r="F948" i="2"/>
  <c r="F947" i="2"/>
  <c r="E946" i="2"/>
  <c r="E945" i="2" s="1"/>
  <c r="E944" i="2" s="1"/>
  <c r="D946" i="2"/>
  <c r="D945" i="2" s="1"/>
  <c r="D944" i="2" s="1"/>
  <c r="F943" i="2"/>
  <c r="F942" i="2"/>
  <c r="E941" i="2"/>
  <c r="D941" i="2"/>
  <c r="D940" i="2" s="1"/>
  <c r="D939" i="2" s="1"/>
  <c r="E940" i="2"/>
  <c r="E939" i="2" s="1"/>
  <c r="E938" i="2"/>
  <c r="F938" i="2" s="1"/>
  <c r="E937" i="2"/>
  <c r="F937" i="2" s="1"/>
  <c r="E936" i="2"/>
  <c r="E935" i="2" s="1"/>
  <c r="E934" i="2" s="1"/>
  <c r="D936" i="2"/>
  <c r="D935" i="2" s="1"/>
  <c r="D934" i="2" s="1"/>
  <c r="F933" i="2"/>
  <c r="F932" i="2"/>
  <c r="F931" i="2"/>
  <c r="E931" i="2"/>
  <c r="E930" i="2"/>
  <c r="D930" i="2"/>
  <c r="D929" i="2" s="1"/>
  <c r="D928" i="2" s="1"/>
  <c r="E929" i="2"/>
  <c r="E928" i="2" s="1"/>
  <c r="F927" i="2"/>
  <c r="F926" i="2"/>
  <c r="F925" i="2"/>
  <c r="F924" i="2"/>
  <c r="F923" i="2"/>
  <c r="F922" i="2"/>
  <c r="F921" i="2"/>
  <c r="F920" i="2"/>
  <c r="E919" i="2"/>
  <c r="E915" i="2" s="1"/>
  <c r="D919" i="2"/>
  <c r="D915" i="2" s="1"/>
  <c r="F918" i="2"/>
  <c r="F917" i="2"/>
  <c r="F916" i="2"/>
  <c r="E914" i="2"/>
  <c r="D914" i="2"/>
  <c r="D912" i="2" s="1"/>
  <c r="E913" i="2"/>
  <c r="F913" i="2" s="1"/>
  <c r="E912" i="2"/>
  <c r="F908" i="2"/>
  <c r="F907" i="2" s="1"/>
  <c r="F906" i="2" s="1"/>
  <c r="F905" i="2" s="1"/>
  <c r="E907" i="2"/>
  <c r="D907" i="2"/>
  <c r="D906" i="2" s="1"/>
  <c r="D905" i="2" s="1"/>
  <c r="E906" i="2"/>
  <c r="E905" i="2" s="1"/>
  <c r="F904" i="2"/>
  <c r="F903" i="2" s="1"/>
  <c r="F902" i="2" s="1"/>
  <c r="E903" i="2"/>
  <c r="D903" i="2"/>
  <c r="D902" i="2" s="1"/>
  <c r="E902" i="2"/>
  <c r="F901" i="2"/>
  <c r="F900" i="2" s="1"/>
  <c r="F899" i="2" s="1"/>
  <c r="F898" i="2" s="1"/>
  <c r="E900" i="2"/>
  <c r="E899" i="2" s="1"/>
  <c r="E898" i="2" s="1"/>
  <c r="E897" i="2" s="1"/>
  <c r="D900" i="2"/>
  <c r="D899" i="2" s="1"/>
  <c r="D898" i="2" s="1"/>
  <c r="D897" i="2" s="1"/>
  <c r="F896" i="2"/>
  <c r="F895" i="2" s="1"/>
  <c r="F894" i="2" s="1"/>
  <c r="F893" i="2" s="1"/>
  <c r="E895" i="2"/>
  <c r="D895" i="2"/>
  <c r="D894" i="2" s="1"/>
  <c r="E894" i="2"/>
  <c r="E893" i="2" s="1"/>
  <c r="D893" i="2"/>
  <c r="F892" i="2"/>
  <c r="F890" i="2"/>
  <c r="F889" i="2"/>
  <c r="F888" i="2" s="1"/>
  <c r="F887" i="2" s="1"/>
  <c r="F886" i="2" s="1"/>
  <c r="E888" i="2"/>
  <c r="D888" i="2"/>
  <c r="D887" i="2" s="1"/>
  <c r="D886" i="2" s="1"/>
  <c r="E887" i="2"/>
  <c r="E886" i="2" s="1"/>
  <c r="F885" i="2"/>
  <c r="F884" i="2"/>
  <c r="F883" i="2"/>
  <c r="F881" i="2"/>
  <c r="F880" i="2"/>
  <c r="F879" i="2"/>
  <c r="E878" i="2"/>
  <c r="E877" i="2" s="1"/>
  <c r="E876" i="2" s="1"/>
  <c r="D878" i="2"/>
  <c r="D877" i="2" s="1"/>
  <c r="D876" i="2" s="1"/>
  <c r="F875" i="2"/>
  <c r="E875" i="2"/>
  <c r="F874" i="2"/>
  <c r="E874" i="2"/>
  <c r="F873" i="2"/>
  <c r="F872" i="2" s="1"/>
  <c r="E873" i="2"/>
  <c r="E872" i="2" s="1"/>
  <c r="E871" i="2" s="1"/>
  <c r="D873" i="2"/>
  <c r="D872" i="2" s="1"/>
  <c r="D871" i="2" s="1"/>
  <c r="F871" i="2"/>
  <c r="F870" i="2"/>
  <c r="F869" i="2"/>
  <c r="E868" i="2"/>
  <c r="F867" i="2"/>
  <c r="D866" i="2"/>
  <c r="F865" i="2"/>
  <c r="F864" i="2"/>
  <c r="E864" i="2"/>
  <c r="D864" i="2"/>
  <c r="D863" i="2" s="1"/>
  <c r="D862" i="2" s="1"/>
  <c r="F861" i="2"/>
  <c r="F860" i="2"/>
  <c r="F859" i="2" s="1"/>
  <c r="E860" i="2"/>
  <c r="D860" i="2"/>
  <c r="D859" i="2" s="1"/>
  <c r="D858" i="2" s="1"/>
  <c r="E859" i="2"/>
  <c r="E858" i="2" s="1"/>
  <c r="F858" i="2"/>
  <c r="F857" i="2"/>
  <c r="F856" i="2"/>
  <c r="F855" i="2"/>
  <c r="F854" i="2"/>
  <c r="F853" i="2"/>
  <c r="F852" i="2"/>
  <c r="E851" i="2"/>
  <c r="F851" i="2" s="1"/>
  <c r="F850" i="2"/>
  <c r="F849" i="2"/>
  <c r="F848" i="2"/>
  <c r="F847" i="2"/>
  <c r="F846" i="2"/>
  <c r="F845" i="2"/>
  <c r="F844" i="2"/>
  <c r="F843" i="2"/>
  <c r="F842" i="2"/>
  <c r="F841" i="2"/>
  <c r="F840" i="2"/>
  <c r="F839" i="2" s="1"/>
  <c r="E839" i="2"/>
  <c r="D839" i="2"/>
  <c r="D834" i="2" s="1"/>
  <c r="F838" i="2"/>
  <c r="F837" i="2"/>
  <c r="F836" i="2"/>
  <c r="F835" i="2"/>
  <c r="E834" i="2"/>
  <c r="D833" i="2"/>
  <c r="F833" i="2" s="1"/>
  <c r="F832" i="2"/>
  <c r="F831" i="2"/>
  <c r="F830" i="2"/>
  <c r="E830" i="2"/>
  <c r="E829" i="2"/>
  <c r="D829" i="2"/>
  <c r="D828" i="2" s="1"/>
  <c r="E828" i="2"/>
  <c r="F827" i="2"/>
  <c r="E827" i="2"/>
  <c r="F826" i="2"/>
  <c r="F825" i="2" s="1"/>
  <c r="E826" i="2"/>
  <c r="D826" i="2"/>
  <c r="D825" i="2" s="1"/>
  <c r="E825" i="2"/>
  <c r="E824" i="2" s="1"/>
  <c r="D824" i="2"/>
  <c r="E822" i="2"/>
  <c r="D822" i="2"/>
  <c r="F822" i="2" s="1"/>
  <c r="F821" i="2" s="1"/>
  <c r="F820" i="2" s="1"/>
  <c r="F819" i="2" s="1"/>
  <c r="E821" i="2"/>
  <c r="E820" i="2" s="1"/>
  <c r="E819" i="2" s="1"/>
  <c r="F818" i="2"/>
  <c r="F817" i="2"/>
  <c r="F816" i="2"/>
  <c r="F815" i="2" s="1"/>
  <c r="F814" i="2" s="1"/>
  <c r="E816" i="2"/>
  <c r="D816" i="2"/>
  <c r="D815" i="2" s="1"/>
  <c r="D814" i="2" s="1"/>
  <c r="E815" i="2"/>
  <c r="E814" i="2" s="1"/>
  <c r="F813" i="2"/>
  <c r="F812" i="2"/>
  <c r="E811" i="2"/>
  <c r="E810" i="2" s="1"/>
  <c r="E809" i="2" s="1"/>
  <c r="D811" i="2"/>
  <c r="D810" i="2"/>
  <c r="D809" i="2" s="1"/>
  <c r="F808" i="2"/>
  <c r="E806" i="2"/>
  <c r="F806" i="2" s="1"/>
  <c r="E805" i="2"/>
  <c r="F805" i="2" s="1"/>
  <c r="E804" i="2"/>
  <c r="E803" i="2" s="1"/>
  <c r="E802" i="2" s="1"/>
  <c r="D804" i="2"/>
  <c r="D803" i="2"/>
  <c r="D802" i="2" s="1"/>
  <c r="F801" i="2"/>
  <c r="F800" i="2"/>
  <c r="F798" i="2" s="1"/>
  <c r="F797" i="2" s="1"/>
  <c r="F796" i="2" s="1"/>
  <c r="F799" i="2"/>
  <c r="E799" i="2"/>
  <c r="E798" i="2"/>
  <c r="D798" i="2"/>
  <c r="D797" i="2" s="1"/>
  <c r="D796" i="2" s="1"/>
  <c r="E797" i="2"/>
  <c r="E796" i="2" s="1"/>
  <c r="F795" i="2"/>
  <c r="F794" i="2" s="1"/>
  <c r="F793" i="2" s="1"/>
  <c r="F792" i="2" s="1"/>
  <c r="E794" i="2"/>
  <c r="D794" i="2"/>
  <c r="D793" i="2" s="1"/>
  <c r="D792" i="2" s="1"/>
  <c r="E793" i="2"/>
  <c r="E792" i="2" s="1"/>
  <c r="F791" i="2"/>
  <c r="F790" i="2"/>
  <c r="E789" i="2"/>
  <c r="E788" i="2" s="1"/>
  <c r="D789" i="2"/>
  <c r="D788" i="2" s="1"/>
  <c r="F787" i="2"/>
  <c r="F786" i="2"/>
  <c r="F785" i="2"/>
  <c r="F784" i="2"/>
  <c r="F783" i="2"/>
  <c r="F782" i="2"/>
  <c r="E781" i="2"/>
  <c r="F781" i="2" s="1"/>
  <c r="F780" i="2"/>
  <c r="F779" i="2"/>
  <c r="F778" i="2"/>
  <c r="F777" i="2"/>
  <c r="F776" i="2"/>
  <c r="F775" i="2"/>
  <c r="F774" i="2"/>
  <c r="F773" i="2"/>
  <c r="F772" i="2"/>
  <c r="F771" i="2"/>
  <c r="F770" i="2"/>
  <c r="E769" i="2"/>
  <c r="D769" i="2"/>
  <c r="D764" i="2" s="1"/>
  <c r="F768" i="2"/>
  <c r="F767" i="2"/>
  <c r="F766" i="2"/>
  <c r="F765" i="2"/>
  <c r="E764" i="2"/>
  <c r="E763" i="2"/>
  <c r="D763" i="2"/>
  <c r="F762" i="2"/>
  <c r="F761" i="2"/>
  <c r="E761" i="2"/>
  <c r="E760" i="2"/>
  <c r="E759" i="2" s="1"/>
  <c r="F758" i="2"/>
  <c r="F757" i="2"/>
  <c r="F755" i="2" s="1"/>
  <c r="F754" i="2" s="1"/>
  <c r="F756" i="2"/>
  <c r="E756" i="2"/>
  <c r="E755" i="2"/>
  <c r="D755" i="2"/>
  <c r="D754" i="2" s="1"/>
  <c r="E754" i="2"/>
  <c r="F751" i="2"/>
  <c r="F750" i="2" s="1"/>
  <c r="F749" i="2" s="1"/>
  <c r="E750" i="2"/>
  <c r="E749" i="2" s="1"/>
  <c r="D750" i="2"/>
  <c r="D749" i="2" s="1"/>
  <c r="F748" i="2"/>
  <c r="F747" i="2" s="1"/>
  <c r="F746" i="2" s="1"/>
  <c r="F745" i="2" s="1"/>
  <c r="E747" i="2"/>
  <c r="E746" i="2" s="1"/>
  <c r="E745" i="2" s="1"/>
  <c r="D747" i="2"/>
  <c r="D746" i="2" s="1"/>
  <c r="D745" i="2" s="1"/>
  <c r="F743" i="2"/>
  <c r="F742" i="2" s="1"/>
  <c r="F741" i="2" s="1"/>
  <c r="F740" i="2" s="1"/>
  <c r="E742" i="2"/>
  <c r="E741" i="2" s="1"/>
  <c r="E740" i="2" s="1"/>
  <c r="D742" i="2"/>
  <c r="D741" i="2" s="1"/>
  <c r="D740" i="2" s="1"/>
  <c r="F739" i="2"/>
  <c r="E739" i="2"/>
  <c r="F738" i="2"/>
  <c r="E738" i="2"/>
  <c r="F737" i="2"/>
  <c r="F736" i="2" s="1"/>
  <c r="F735" i="2" s="1"/>
  <c r="E737" i="2"/>
  <c r="D737" i="2"/>
  <c r="D736" i="2" s="1"/>
  <c r="D735" i="2" s="1"/>
  <c r="E736" i="2"/>
  <c r="E735" i="2" s="1"/>
  <c r="F734" i="2"/>
  <c r="F733" i="2"/>
  <c r="E732" i="2"/>
  <c r="F732" i="2" s="1"/>
  <c r="F731" i="2" s="1"/>
  <c r="E731" i="2"/>
  <c r="D731" i="2"/>
  <c r="F730" i="2"/>
  <c r="F729" i="2"/>
  <c r="F728" i="2" s="1"/>
  <c r="E728" i="2"/>
  <c r="D728" i="2"/>
  <c r="D727" i="2" s="1"/>
  <c r="D726" i="2" s="1"/>
  <c r="E727" i="2"/>
  <c r="E726" i="2" s="1"/>
  <c r="F725" i="2"/>
  <c r="F724" i="2" s="1"/>
  <c r="F723" i="2" s="1"/>
  <c r="F722" i="2" s="1"/>
  <c r="E724" i="2"/>
  <c r="D724" i="2"/>
  <c r="D723" i="2" s="1"/>
  <c r="D722" i="2" s="1"/>
  <c r="E723" i="2"/>
  <c r="E722" i="2" s="1"/>
  <c r="F721" i="2"/>
  <c r="F720" i="2"/>
  <c r="F719" i="2"/>
  <c r="F718" i="2"/>
  <c r="E717" i="2"/>
  <c r="F717" i="2" s="1"/>
  <c r="E716" i="2"/>
  <c r="F716" i="2" s="1"/>
  <c r="F715" i="2"/>
  <c r="F714" i="2"/>
  <c r="F713" i="2"/>
  <c r="F712" i="2"/>
  <c r="F711" i="2"/>
  <c r="F710" i="2"/>
  <c r="F709" i="2"/>
  <c r="F708" i="2"/>
  <c r="F707" i="2"/>
  <c r="E706" i="2"/>
  <c r="D706" i="2"/>
  <c r="F705" i="2"/>
  <c r="F704" i="2"/>
  <c r="F703" i="2"/>
  <c r="D702" i="2"/>
  <c r="E701" i="2"/>
  <c r="E699" i="2" s="1"/>
  <c r="D701" i="2"/>
  <c r="F701" i="2" s="1"/>
  <c r="F700" i="2"/>
  <c r="E700" i="2"/>
  <c r="F697" i="2"/>
  <c r="E697" i="2"/>
  <c r="F696" i="2"/>
  <c r="F695" i="2" s="1"/>
  <c r="E696" i="2"/>
  <c r="D696" i="2"/>
  <c r="D695" i="2" s="1"/>
  <c r="E695" i="2"/>
  <c r="F692" i="2"/>
  <c r="F688" i="2"/>
  <c r="F687" i="2" s="1"/>
  <c r="F686" i="2" s="1"/>
  <c r="E687" i="2"/>
  <c r="D687" i="2"/>
  <c r="D686" i="2" s="1"/>
  <c r="D681" i="2" s="1"/>
  <c r="E686" i="2"/>
  <c r="F685" i="2"/>
  <c r="F684" i="2" s="1"/>
  <c r="F683" i="2" s="1"/>
  <c r="F682" i="2" s="1"/>
  <c r="E684" i="2"/>
  <c r="E683" i="2" s="1"/>
  <c r="E682" i="2" s="1"/>
  <c r="D684" i="2"/>
  <c r="D683" i="2" s="1"/>
  <c r="D682" i="2" s="1"/>
  <c r="F680" i="2"/>
  <c r="F679" i="2" s="1"/>
  <c r="F678" i="2" s="1"/>
  <c r="F677" i="2" s="1"/>
  <c r="E679" i="2"/>
  <c r="E678" i="2" s="1"/>
  <c r="E677" i="2" s="1"/>
  <c r="D679" i="2"/>
  <c r="D678" i="2" s="1"/>
  <c r="D677" i="2" s="1"/>
  <c r="F676" i="2"/>
  <c r="F671" i="2" s="1"/>
  <c r="F670" i="2" s="1"/>
  <c r="F675" i="2"/>
  <c r="F674" i="2" s="1"/>
  <c r="F673" i="2" s="1"/>
  <c r="F672" i="2" s="1"/>
  <c r="E674" i="2"/>
  <c r="E673" i="2" s="1"/>
  <c r="E672" i="2" s="1"/>
  <c r="D674" i="2"/>
  <c r="D673" i="2" s="1"/>
  <c r="D672" i="2" s="1"/>
  <c r="E671" i="2"/>
  <c r="D671" i="2"/>
  <c r="D670" i="2" s="1"/>
  <c r="E670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E651" i="2"/>
  <c r="D651" i="2"/>
  <c r="D646" i="2" s="1"/>
  <c r="F650" i="2"/>
  <c r="F649" i="2"/>
  <c r="F648" i="2"/>
  <c r="F647" i="2"/>
  <c r="E646" i="2"/>
  <c r="E645" i="2"/>
  <c r="D645" i="2"/>
  <c r="F645" i="2" s="1"/>
  <c r="F644" i="2"/>
  <c r="F643" i="2"/>
  <c r="E643" i="2"/>
  <c r="E642" i="2"/>
  <c r="E641" i="2" s="1"/>
  <c r="F640" i="2"/>
  <c r="F639" i="2" s="1"/>
  <c r="F638" i="2" s="1"/>
  <c r="E640" i="2"/>
  <c r="E639" i="2"/>
  <c r="D639" i="2"/>
  <c r="D638" i="2" s="1"/>
  <c r="E638" i="2"/>
  <c r="F636" i="2"/>
  <c r="F635" i="2"/>
  <c r="F632" i="2"/>
  <c r="F631" i="2"/>
  <c r="F630" i="2"/>
  <c r="F629" i="2"/>
  <c r="F628" i="2"/>
  <c r="F627" i="2"/>
  <c r="F626" i="2"/>
  <c r="F625" i="2"/>
  <c r="F624" i="2"/>
  <c r="F623" i="2"/>
  <c r="E622" i="2"/>
  <c r="F622" i="2" s="1"/>
  <c r="F621" i="2"/>
  <c r="F620" i="2"/>
  <c r="F619" i="2"/>
  <c r="F618" i="2"/>
  <c r="F617" i="2"/>
  <c r="F616" i="2"/>
  <c r="E615" i="2"/>
  <c r="E610" i="2" s="1"/>
  <c r="D615" i="2"/>
  <c r="D610" i="2" s="1"/>
  <c r="F614" i="2"/>
  <c r="F613" i="2"/>
  <c r="F612" i="2"/>
  <c r="F611" i="2"/>
  <c r="D609" i="2"/>
  <c r="F609" i="2" s="1"/>
  <c r="F608" i="2"/>
  <c r="F607" i="2"/>
  <c r="E606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E586" i="2"/>
  <c r="E581" i="2" s="1"/>
  <c r="D586" i="2"/>
  <c r="D581" i="2" s="1"/>
  <c r="F585" i="2"/>
  <c r="F584" i="2"/>
  <c r="F583" i="2"/>
  <c r="F582" i="2"/>
  <c r="F580" i="2"/>
  <c r="F579" i="2"/>
  <c r="F578" i="2"/>
  <c r="E577" i="2"/>
  <c r="D577" i="2"/>
  <c r="F572" i="2"/>
  <c r="F571" i="2"/>
  <c r="E570" i="2"/>
  <c r="E569" i="2" s="1"/>
  <c r="E568" i="2" s="1"/>
  <c r="D570" i="2"/>
  <c r="D569" i="2" s="1"/>
  <c r="D568" i="2" s="1"/>
  <c r="F567" i="2"/>
  <c r="F566" i="2" s="1"/>
  <c r="F565" i="2" s="1"/>
  <c r="F564" i="2" s="1"/>
  <c r="E566" i="2"/>
  <c r="E565" i="2" s="1"/>
  <c r="E564" i="2" s="1"/>
  <c r="D566" i="2"/>
  <c r="D565" i="2" s="1"/>
  <c r="D564" i="2" s="1"/>
  <c r="F563" i="2"/>
  <c r="F562" i="2" s="1"/>
  <c r="F561" i="2" s="1"/>
  <c r="F560" i="2" s="1"/>
  <c r="E562" i="2"/>
  <c r="E561" i="2" s="1"/>
  <c r="E560" i="2" s="1"/>
  <c r="D562" i="2"/>
  <c r="D561" i="2" s="1"/>
  <c r="D560" i="2" s="1"/>
  <c r="F559" i="2"/>
  <c r="D558" i="2"/>
  <c r="F558" i="2" s="1"/>
  <c r="F557" i="2" s="1"/>
  <c r="F556" i="2" s="1"/>
  <c r="F555" i="2" s="1"/>
  <c r="E557" i="2"/>
  <c r="E556" i="2" s="1"/>
  <c r="E555" i="2" s="1"/>
  <c r="F554" i="2"/>
  <c r="F553" i="2" s="1"/>
  <c r="F552" i="2" s="1"/>
  <c r="F551" i="2" s="1"/>
  <c r="E553" i="2"/>
  <c r="E552" i="2" s="1"/>
  <c r="D553" i="2"/>
  <c r="D552" i="2" s="1"/>
  <c r="D551" i="2" s="1"/>
  <c r="E551" i="2"/>
  <c r="F550" i="2"/>
  <c r="E550" i="2"/>
  <c r="F549" i="2"/>
  <c r="F548" i="2" s="1"/>
  <c r="E549" i="2"/>
  <c r="D549" i="2"/>
  <c r="D548" i="2" s="1"/>
  <c r="D547" i="2" s="1"/>
  <c r="E548" i="2"/>
  <c r="E547" i="2" s="1"/>
  <c r="F547" i="2"/>
  <c r="E546" i="2"/>
  <c r="F546" i="2" s="1"/>
  <c r="F545" i="2"/>
  <c r="F544" i="2"/>
  <c r="F543" i="2"/>
  <c r="F542" i="2"/>
  <c r="F541" i="2"/>
  <c r="F540" i="2"/>
  <c r="F539" i="2"/>
  <c r="F538" i="2"/>
  <c r="F537" i="2"/>
  <c r="F536" i="2"/>
  <c r="F535" i="2"/>
  <c r="F534" i="2"/>
  <c r="E533" i="2"/>
  <c r="D533" i="2"/>
  <c r="D528" i="2" s="1"/>
  <c r="F532" i="2"/>
  <c r="F531" i="2"/>
  <c r="F530" i="2"/>
  <c r="F529" i="2"/>
  <c r="F527" i="2"/>
  <c r="F526" i="2"/>
  <c r="E525" i="2"/>
  <c r="F525" i="2" s="1"/>
  <c r="E524" i="2"/>
  <c r="D524" i="2"/>
  <c r="F522" i="2"/>
  <c r="F521" i="2" s="1"/>
  <c r="F520" i="2" s="1"/>
  <c r="E521" i="2"/>
  <c r="D521" i="2"/>
  <c r="D520" i="2" s="1"/>
  <c r="E520" i="2"/>
  <c r="E518" i="2"/>
  <c r="F518" i="2" s="1"/>
  <c r="F517" i="2"/>
  <c r="F516" i="2"/>
  <c r="F514" i="2"/>
  <c r="F513" i="2"/>
  <c r="E513" i="2"/>
  <c r="F512" i="2"/>
  <c r="E512" i="2"/>
  <c r="F511" i="2"/>
  <c r="E510" i="2"/>
  <c r="D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E496" i="2"/>
  <c r="D496" i="2"/>
  <c r="F495" i="2"/>
  <c r="F494" i="2"/>
  <c r="F493" i="2"/>
  <c r="F492" i="2"/>
  <c r="F490" i="2"/>
  <c r="F489" i="2"/>
  <c r="D488" i="2"/>
  <c r="E487" i="2"/>
  <c r="F485" i="2"/>
  <c r="F484" i="2" s="1"/>
  <c r="F483" i="2" s="1"/>
  <c r="E484" i="2"/>
  <c r="D484" i="2"/>
  <c r="D483" i="2" s="1"/>
  <c r="E483" i="2"/>
  <c r="D481" i="2"/>
  <c r="E480" i="2"/>
  <c r="E479" i="2" s="1"/>
  <c r="E478" i="2" s="1"/>
  <c r="F477" i="2"/>
  <c r="F476" i="2"/>
  <c r="F475" i="2"/>
  <c r="F474" i="2"/>
  <c r="F473" i="2"/>
  <c r="F472" i="2"/>
  <c r="F471" i="2"/>
  <c r="F470" i="2"/>
  <c r="F469" i="2"/>
  <c r="E468" i="2"/>
  <c r="D468" i="2"/>
  <c r="F467" i="2"/>
  <c r="F466" i="2"/>
  <c r="F465" i="2"/>
  <c r="E464" i="2"/>
  <c r="D464" i="2"/>
  <c r="F461" i="2"/>
  <c r="E461" i="2"/>
  <c r="F460" i="2"/>
  <c r="E460" i="2"/>
  <c r="F459" i="2"/>
  <c r="F458" i="2"/>
  <c r="F457" i="2"/>
  <c r="E456" i="2"/>
  <c r="F456" i="2" s="1"/>
  <c r="F455" i="2"/>
  <c r="F454" i="2"/>
  <c r="F453" i="2"/>
  <c r="F452" i="2"/>
  <c r="F451" i="2"/>
  <c r="F450" i="2"/>
  <c r="F449" i="2"/>
  <c r="F448" i="2"/>
  <c r="F447" i="2"/>
  <c r="F446" i="2"/>
  <c r="F445" i="2"/>
  <c r="E444" i="2"/>
  <c r="D444" i="2"/>
  <c r="F443" i="2"/>
  <c r="E443" i="2"/>
  <c r="F442" i="2"/>
  <c r="E441" i="2"/>
  <c r="F441" i="2" s="1"/>
  <c r="E440" i="2"/>
  <c r="D440" i="2"/>
  <c r="F439" i="2"/>
  <c r="E439" i="2"/>
  <c r="F438" i="2"/>
  <c r="E438" i="2"/>
  <c r="F437" i="2"/>
  <c r="E437" i="2"/>
  <c r="F436" i="2"/>
  <c r="E436" i="2"/>
  <c r="D436" i="2"/>
  <c r="F434" i="2"/>
  <c r="D434" i="2"/>
  <c r="F433" i="2"/>
  <c r="F432" i="2" s="1"/>
  <c r="E433" i="2"/>
  <c r="E432" i="2" s="1"/>
  <c r="D433" i="2"/>
  <c r="D432" i="2" s="1"/>
  <c r="F430" i="2"/>
  <c r="F429" i="2" s="1"/>
  <c r="F428" i="2" s="1"/>
  <c r="F427" i="2" s="1"/>
  <c r="E429" i="2"/>
  <c r="E428" i="2" s="1"/>
  <c r="E427" i="2" s="1"/>
  <c r="D429" i="2"/>
  <c r="D428" i="2" s="1"/>
  <c r="D427" i="2" s="1"/>
  <c r="F426" i="2"/>
  <c r="F425" i="2"/>
  <c r="F424" i="2"/>
  <c r="E423" i="2"/>
  <c r="E422" i="2" s="1"/>
  <c r="E421" i="2" s="1"/>
  <c r="D423" i="2"/>
  <c r="D422" i="2" s="1"/>
  <c r="D421" i="2" s="1"/>
  <c r="F420" i="2"/>
  <c r="F419" i="2" s="1"/>
  <c r="F418" i="2" s="1"/>
  <c r="F417" i="2" s="1"/>
  <c r="E419" i="2"/>
  <c r="E418" i="2" s="1"/>
  <c r="E417" i="2" s="1"/>
  <c r="D419" i="2"/>
  <c r="D418" i="2" s="1"/>
  <c r="D417" i="2" s="1"/>
  <c r="D416" i="2"/>
  <c r="F416" i="2" s="1"/>
  <c r="F415" i="2" s="1"/>
  <c r="F414" i="2" s="1"/>
  <c r="E415" i="2"/>
  <c r="E414" i="2" s="1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E396" i="2"/>
  <c r="E392" i="2" s="1"/>
  <c r="D396" i="2"/>
  <c r="F395" i="2"/>
  <c r="F394" i="2"/>
  <c r="F393" i="2"/>
  <c r="D392" i="2"/>
  <c r="F391" i="2"/>
  <c r="F390" i="2"/>
  <c r="D389" i="2"/>
  <c r="F389" i="2" s="1"/>
  <c r="E388" i="2"/>
  <c r="F386" i="2"/>
  <c r="F385" i="2"/>
  <c r="E384" i="2"/>
  <c r="D384" i="2"/>
  <c r="F383" i="2"/>
  <c r="F382" i="2"/>
  <c r="F381" i="2"/>
  <c r="E381" i="2"/>
  <c r="E380" i="2"/>
  <c r="D380" i="2"/>
  <c r="E379" i="2"/>
  <c r="F377" i="2"/>
  <c r="F375" i="2"/>
  <c r="F374" i="2" s="1"/>
  <c r="F373" i="2" s="1"/>
  <c r="F372" i="2" s="1"/>
  <c r="E374" i="2"/>
  <c r="E373" i="2" s="1"/>
  <c r="E372" i="2" s="1"/>
  <c r="D374" i="2"/>
  <c r="D373" i="2" s="1"/>
  <c r="D372" i="2" s="1"/>
  <c r="F371" i="2"/>
  <c r="F370" i="2"/>
  <c r="E369" i="2"/>
  <c r="E368" i="2" s="1"/>
  <c r="E367" i="2" s="1"/>
  <c r="D369" i="2"/>
  <c r="D368" i="2" s="1"/>
  <c r="D367" i="2" s="1"/>
  <c r="F365" i="2"/>
  <c r="F364" i="2"/>
  <c r="F363" i="2"/>
  <c r="E362" i="2"/>
  <c r="E360" i="2" s="1"/>
  <c r="E359" i="2" s="1"/>
  <c r="D362" i="2"/>
  <c r="D360" i="2" s="1"/>
  <c r="D359" i="2" s="1"/>
  <c r="F361" i="2"/>
  <c r="F358" i="2"/>
  <c r="F357" i="2" s="1"/>
  <c r="F356" i="2" s="1"/>
  <c r="E357" i="2"/>
  <c r="D357" i="2"/>
  <c r="D356" i="2" s="1"/>
  <c r="E356" i="2"/>
  <c r="D354" i="2"/>
  <c r="F354" i="2" s="1"/>
  <c r="F353" i="2"/>
  <c r="E352" i="2"/>
  <c r="D352" i="2"/>
  <c r="F352" i="2" s="1"/>
  <c r="F351" i="2"/>
  <c r="E350" i="2"/>
  <c r="D350" i="2"/>
  <c r="D349" i="2"/>
  <c r="F349" i="2" s="1"/>
  <c r="D348" i="2"/>
  <c r="F348" i="2" s="1"/>
  <c r="E347" i="2"/>
  <c r="E346" i="2" s="1"/>
  <c r="F345" i="2"/>
  <c r="F344" i="2" s="1"/>
  <c r="F343" i="2" s="1"/>
  <c r="E344" i="2"/>
  <c r="D344" i="2"/>
  <c r="D343" i="2" s="1"/>
  <c r="E343" i="2"/>
  <c r="F342" i="2"/>
  <c r="F341" i="2" s="1"/>
  <c r="F340" i="2" s="1"/>
  <c r="E342" i="2"/>
  <c r="E341" i="2"/>
  <c r="D341" i="2"/>
  <c r="D340" i="2" s="1"/>
  <c r="E340" i="2"/>
  <c r="F338" i="2"/>
  <c r="F337" i="2"/>
  <c r="F336" i="2"/>
  <c r="F335" i="2"/>
  <c r="F334" i="2"/>
  <c r="F333" i="2"/>
  <c r="F332" i="2"/>
  <c r="F331" i="2"/>
  <c r="F330" i="2"/>
  <c r="F329" i="2" s="1"/>
  <c r="E329" i="2"/>
  <c r="D329" i="2"/>
  <c r="D323" i="2" s="1"/>
  <c r="D322" i="2" s="1"/>
  <c r="D321" i="2" s="1"/>
  <c r="D320" i="2" s="1"/>
  <c r="F328" i="2"/>
  <c r="F327" i="2"/>
  <c r="F326" i="2"/>
  <c r="F325" i="2"/>
  <c r="F324" i="2"/>
  <c r="E323" i="2"/>
  <c r="E322" i="2" s="1"/>
  <c r="E321" i="2" s="1"/>
  <c r="E320" i="2" s="1"/>
  <c r="F319" i="2"/>
  <c r="D318" i="2"/>
  <c r="F318" i="2" s="1"/>
  <c r="F317" i="2" s="1"/>
  <c r="E317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E302" i="2"/>
  <c r="E300" i="2" s="1"/>
  <c r="E299" i="2" s="1"/>
  <c r="D302" i="2"/>
  <c r="D300" i="2" s="1"/>
  <c r="D299" i="2" s="1"/>
  <c r="F301" i="2"/>
  <c r="F298" i="2"/>
  <c r="F297" i="2" s="1"/>
  <c r="F296" i="2" s="1"/>
  <c r="E297" i="2"/>
  <c r="E296" i="2" s="1"/>
  <c r="D297" i="2"/>
  <c r="D296" i="2" s="1"/>
  <c r="F294" i="2"/>
  <c r="F293" i="2" s="1"/>
  <c r="F292" i="2" s="1"/>
  <c r="F291" i="2" s="1"/>
  <c r="E293" i="2"/>
  <c r="E292" i="2" s="1"/>
  <c r="E291" i="2" s="1"/>
  <c r="D293" i="2"/>
  <c r="D292" i="2" s="1"/>
  <c r="D291" i="2" s="1"/>
  <c r="F290" i="2"/>
  <c r="F289" i="2" s="1"/>
  <c r="F288" i="2" s="1"/>
  <c r="F287" i="2" s="1"/>
  <c r="E289" i="2"/>
  <c r="E288" i="2" s="1"/>
  <c r="E287" i="2" s="1"/>
  <c r="D289" i="2"/>
  <c r="D288" i="2" s="1"/>
  <c r="D287" i="2" s="1"/>
  <c r="F286" i="2"/>
  <c r="F285" i="2"/>
  <c r="F284" i="2" s="1"/>
  <c r="F283" i="2" s="1"/>
  <c r="F282" i="2" s="1"/>
  <c r="E284" i="2"/>
  <c r="E283" i="2" s="1"/>
  <c r="E282" i="2" s="1"/>
  <c r="D284" i="2"/>
  <c r="D283" i="2" s="1"/>
  <c r="D282" i="2" s="1"/>
  <c r="F281" i="2"/>
  <c r="F280" i="2" s="1"/>
  <c r="F279" i="2" s="1"/>
  <c r="F278" i="2" s="1"/>
  <c r="E280" i="2"/>
  <c r="E279" i="2" s="1"/>
  <c r="E278" i="2" s="1"/>
  <c r="D280" i="2"/>
  <c r="D279" i="2" s="1"/>
  <c r="D278" i="2" s="1"/>
  <c r="F276" i="2"/>
  <c r="E275" i="2"/>
  <c r="F275" i="2" s="1"/>
  <c r="E274" i="2"/>
  <c r="F274" i="2" s="1"/>
  <c r="F273" i="2"/>
  <c r="D272" i="2"/>
  <c r="D271" i="2"/>
  <c r="F270" i="2"/>
  <c r="F269" i="2" s="1"/>
  <c r="F268" i="2" s="1"/>
  <c r="E270" i="2"/>
  <c r="E269" i="2"/>
  <c r="D269" i="2"/>
  <c r="D268" i="2" s="1"/>
  <c r="E268" i="2"/>
  <c r="F266" i="2"/>
  <c r="F265" i="2"/>
  <c r="E264" i="2"/>
  <c r="E261" i="2" s="1"/>
  <c r="E260" i="2" s="1"/>
  <c r="D264" i="2"/>
  <c r="F264" i="2" s="1"/>
  <c r="E263" i="2"/>
  <c r="D263" i="2"/>
  <c r="F263" i="2" s="1"/>
  <c r="F262" i="2"/>
  <c r="D261" i="2"/>
  <c r="D260" i="2" s="1"/>
  <c r="F259" i="2"/>
  <c r="F258" i="2" s="1"/>
  <c r="F257" i="2" s="1"/>
  <c r="E258" i="2"/>
  <c r="E257" i="2" s="1"/>
  <c r="D258" i="2"/>
  <c r="D257" i="2" s="1"/>
  <c r="F254" i="2"/>
  <c r="F253" i="2"/>
  <c r="E252" i="2"/>
  <c r="E251" i="2" s="1"/>
  <c r="E250" i="2" s="1"/>
  <c r="D252" i="2"/>
  <c r="D251" i="2" s="1"/>
  <c r="D250" i="2" s="1"/>
  <c r="F249" i="2"/>
  <c r="E249" i="2"/>
  <c r="F248" i="2"/>
  <c r="F247" i="2" s="1"/>
  <c r="E248" i="2"/>
  <c r="E247" i="2" s="1"/>
  <c r="E246" i="2" s="1"/>
  <c r="F246" i="2" s="1"/>
  <c r="F245" i="2"/>
  <c r="F244" i="2" s="1"/>
  <c r="F243" i="2" s="1"/>
  <c r="E245" i="2"/>
  <c r="E244" i="2"/>
  <c r="D244" i="2"/>
  <c r="D243" i="2" s="1"/>
  <c r="D242" i="2" s="1"/>
  <c r="E243" i="2"/>
  <c r="E242" i="2" s="1"/>
  <c r="F241" i="2"/>
  <c r="F240" i="2"/>
  <c r="E240" i="2"/>
  <c r="F239" i="2"/>
  <c r="E238" i="2"/>
  <c r="E237" i="2" s="1"/>
  <c r="E236" i="2" s="1"/>
  <c r="D238" i="2"/>
  <c r="D237" i="2" s="1"/>
  <c r="D236" i="2" s="1"/>
  <c r="D234" i="2"/>
  <c r="F234" i="2" s="1"/>
  <c r="F233" i="2"/>
  <c r="F232" i="2"/>
  <c r="D232" i="2"/>
  <c r="F231" i="2"/>
  <c r="E230" i="2"/>
  <c r="E229" i="2" s="1"/>
  <c r="E228" i="2" s="1"/>
  <c r="F227" i="2"/>
  <c r="F226" i="2"/>
  <c r="E225" i="2"/>
  <c r="E224" i="2" s="1"/>
  <c r="E223" i="2" s="1"/>
  <c r="D225" i="2"/>
  <c r="D224" i="2" s="1"/>
  <c r="D223" i="2" s="1"/>
  <c r="F221" i="2"/>
  <c r="F220" i="2"/>
  <c r="F219" i="2"/>
  <c r="E218" i="2"/>
  <c r="E217" i="2" s="1"/>
  <c r="D218" i="2"/>
  <c r="D217" i="2" s="1"/>
  <c r="F216" i="2"/>
  <c r="F215" i="2" s="1"/>
  <c r="F214" i="2" s="1"/>
  <c r="E215" i="2"/>
  <c r="E214" i="2" s="1"/>
  <c r="D215" i="2"/>
  <c r="D214" i="2" s="1"/>
  <c r="E212" i="2"/>
  <c r="F212" i="2" s="1"/>
  <c r="F211" i="2"/>
  <c r="F210" i="2"/>
  <c r="F209" i="2"/>
  <c r="F208" i="2"/>
  <c r="E207" i="2"/>
  <c r="E206" i="2" s="1"/>
  <c r="D207" i="2"/>
  <c r="D206" i="2" s="1"/>
  <c r="F205" i="2"/>
  <c r="F204" i="2" s="1"/>
  <c r="F203" i="2" s="1"/>
  <c r="E204" i="2"/>
  <c r="D204" i="2"/>
  <c r="D203" i="2" s="1"/>
  <c r="E203" i="2"/>
  <c r="F201" i="2"/>
  <c r="F200" i="2" s="1"/>
  <c r="F199" i="2" s="1"/>
  <c r="F198" i="2" s="1"/>
  <c r="E200" i="2"/>
  <c r="E199" i="2" s="1"/>
  <c r="E198" i="2" s="1"/>
  <c r="D200" i="2"/>
  <c r="D199" i="2" s="1"/>
  <c r="D198" i="2" s="1"/>
  <c r="F197" i="2"/>
  <c r="F196" i="2"/>
  <c r="F195" i="2"/>
  <c r="F194" i="2"/>
  <c r="F193" i="2"/>
  <c r="E192" i="2"/>
  <c r="E191" i="2" s="1"/>
  <c r="E190" i="2" s="1"/>
  <c r="D192" i="2"/>
  <c r="D191" i="2" s="1"/>
  <c r="D190" i="2" s="1"/>
  <c r="F189" i="2"/>
  <c r="F188" i="2"/>
  <c r="F187" i="2"/>
  <c r="F186" i="2"/>
  <c r="F185" i="2"/>
  <c r="F184" i="2"/>
  <c r="F183" i="2"/>
  <c r="F182" i="2"/>
  <c r="F181" i="2"/>
  <c r="F180" i="2"/>
  <c r="E179" i="2"/>
  <c r="E175" i="2" s="1"/>
  <c r="D179" i="2"/>
  <c r="D175" i="2" s="1"/>
  <c r="F178" i="2"/>
  <c r="F177" i="2"/>
  <c r="F176" i="2"/>
  <c r="F174" i="2"/>
  <c r="F173" i="2"/>
  <c r="E172" i="2"/>
  <c r="D172" i="2"/>
  <c r="F169" i="2"/>
  <c r="F168" i="2"/>
  <c r="E167" i="2"/>
  <c r="E166" i="2" s="1"/>
  <c r="D167" i="2"/>
  <c r="D166" i="2" s="1"/>
  <c r="F165" i="2"/>
  <c r="F164" i="2" s="1"/>
  <c r="F163" i="2" s="1"/>
  <c r="F162" i="2" s="1"/>
  <c r="E164" i="2"/>
  <c r="D164" i="2"/>
  <c r="D163" i="2" s="1"/>
  <c r="D162" i="2" s="1"/>
  <c r="E163" i="2"/>
  <c r="E162" i="2" s="1"/>
  <c r="F161" i="2"/>
  <c r="F160" i="2"/>
  <c r="E159" i="2"/>
  <c r="E158" i="2" s="1"/>
  <c r="E157" i="2" s="1"/>
  <c r="D159" i="2"/>
  <c r="D158" i="2" s="1"/>
  <c r="D157" i="2" s="1"/>
  <c r="D156" i="2"/>
  <c r="D155" i="2" s="1"/>
  <c r="D154" i="2" s="1"/>
  <c r="F155" i="2"/>
  <c r="E155" i="2"/>
  <c r="E154" i="2" s="1"/>
  <c r="F154" i="2"/>
  <c r="F153" i="2"/>
  <c r="F152" i="2" s="1"/>
  <c r="F151" i="2" s="1"/>
  <c r="E152" i="2"/>
  <c r="D152" i="2"/>
  <c r="D151" i="2" s="1"/>
  <c r="E151" i="2"/>
  <c r="F149" i="2"/>
  <c r="F147" i="2"/>
  <c r="E146" i="2"/>
  <c r="D146" i="2"/>
  <c r="D145" i="2" s="1"/>
  <c r="F144" i="2"/>
  <c r="E143" i="2"/>
  <c r="F143" i="2" s="1"/>
  <c r="E142" i="2"/>
  <c r="E141" i="2" s="1"/>
  <c r="E140" i="2" s="1"/>
  <c r="D142" i="2"/>
  <c r="D141" i="2" s="1"/>
  <c r="F139" i="2"/>
  <c r="F138" i="2"/>
  <c r="F137" i="2"/>
  <c r="E136" i="2"/>
  <c r="E135" i="2" s="1"/>
  <c r="E134" i="2" s="1"/>
  <c r="D136" i="2"/>
  <c r="D135" i="2" s="1"/>
  <c r="D134" i="2" s="1"/>
  <c r="F133" i="2"/>
  <c r="F132" i="2"/>
  <c r="E131" i="2"/>
  <c r="E130" i="2" s="1"/>
  <c r="E129" i="2" s="1"/>
  <c r="D131" i="2"/>
  <c r="D130" i="2" s="1"/>
  <c r="D129" i="2" s="1"/>
  <c r="F127" i="2"/>
  <c r="F126" i="2"/>
  <c r="E125" i="2"/>
  <c r="D125" i="2"/>
  <c r="F124" i="2"/>
  <c r="F123" i="2"/>
  <c r="F122" i="2" s="1"/>
  <c r="E122" i="2"/>
  <c r="E121" i="2" s="1"/>
  <c r="E120" i="2" s="1"/>
  <c r="E119" i="2" s="1"/>
  <c r="D122" i="2"/>
  <c r="D121" i="2" s="1"/>
  <c r="D120" i="2" s="1"/>
  <c r="D119" i="2" s="1"/>
  <c r="F118" i="2"/>
  <c r="F117" i="2"/>
  <c r="E116" i="2"/>
  <c r="E115" i="2" s="1"/>
  <c r="E114" i="2" s="1"/>
  <c r="D116" i="2"/>
  <c r="D115" i="2" s="1"/>
  <c r="D114" i="2" s="1"/>
  <c r="F113" i="2"/>
  <c r="F112" i="2" s="1"/>
  <c r="F111" i="2" s="1"/>
  <c r="F110" i="2" s="1"/>
  <c r="E112" i="2"/>
  <c r="E111" i="2" s="1"/>
  <c r="E110" i="2" s="1"/>
  <c r="D112" i="2"/>
  <c r="D111" i="2" s="1"/>
  <c r="D110" i="2" s="1"/>
  <c r="F109" i="2"/>
  <c r="F108" i="2"/>
  <c r="E107" i="2"/>
  <c r="D107" i="2"/>
  <c r="F106" i="2"/>
  <c r="F105" i="2"/>
  <c r="E104" i="2"/>
  <c r="E103" i="2" s="1"/>
  <c r="E102" i="2" s="1"/>
  <c r="D104" i="2"/>
  <c r="D103" i="2"/>
  <c r="D102" i="2" s="1"/>
  <c r="F101" i="2"/>
  <c r="F100" i="2"/>
  <c r="F99" i="2"/>
  <c r="F98" i="2"/>
  <c r="F97" i="2" s="1"/>
  <c r="E97" i="2"/>
  <c r="D97" i="2"/>
  <c r="F96" i="2"/>
  <c r="F95" i="2"/>
  <c r="F94" i="2"/>
  <c r="E93" i="2"/>
  <c r="E92" i="2" s="1"/>
  <c r="D93" i="2"/>
  <c r="F91" i="2"/>
  <c r="F90" i="2" s="1"/>
  <c r="F89" i="2" s="1"/>
  <c r="E90" i="2"/>
  <c r="E89" i="2" s="1"/>
  <c r="D90" i="2"/>
  <c r="D89" i="2" s="1"/>
  <c r="F87" i="2"/>
  <c r="F86" i="2" s="1"/>
  <c r="F85" i="2" s="1"/>
  <c r="F84" i="2" s="1"/>
  <c r="E86" i="2"/>
  <c r="E85" i="2" s="1"/>
  <c r="E84" i="2" s="1"/>
  <c r="D86" i="2"/>
  <c r="D85" i="2" s="1"/>
  <c r="D84" i="2" s="1"/>
  <c r="F83" i="2"/>
  <c r="F82" i="2"/>
  <c r="F81" i="2"/>
  <c r="E80" i="2"/>
  <c r="D80" i="2"/>
  <c r="F79" i="2"/>
  <c r="F78" i="2"/>
  <c r="F77" i="2" s="1"/>
  <c r="E77" i="2"/>
  <c r="D77" i="2"/>
  <c r="F74" i="2"/>
  <c r="F73" i="2" s="1"/>
  <c r="F72" i="2" s="1"/>
  <c r="F71" i="2" s="1"/>
  <c r="E73" i="2"/>
  <c r="D73" i="2"/>
  <c r="D72" i="2" s="1"/>
  <c r="D71" i="2" s="1"/>
  <c r="E72" i="2"/>
  <c r="E71" i="2" s="1"/>
  <c r="F70" i="2"/>
  <c r="F69" i="2"/>
  <c r="F68" i="2"/>
  <c r="E67" i="2"/>
  <c r="D67" i="2"/>
  <c r="D66" i="2" s="1"/>
  <c r="D65" i="2" s="1"/>
  <c r="E66" i="2"/>
  <c r="E65" i="2" s="1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E48" i="2"/>
  <c r="E44" i="2" s="1"/>
  <c r="D48" i="2"/>
  <c r="F47" i="2"/>
  <c r="F46" i="2"/>
  <c r="F45" i="2"/>
  <c r="D44" i="2"/>
  <c r="F43" i="2"/>
  <c r="F42" i="2"/>
  <c r="F41" i="2"/>
  <c r="F40" i="2"/>
  <c r="F39" i="2"/>
  <c r="F38" i="2"/>
  <c r="E37" i="2"/>
  <c r="D37" i="2"/>
  <c r="F35" i="2"/>
  <c r="F34" i="2" s="1"/>
  <c r="F33" i="2" s="1"/>
  <c r="E34" i="2"/>
  <c r="E33" i="2" s="1"/>
  <c r="D34" i="2"/>
  <c r="D33" i="2" s="1"/>
  <c r="F32" i="2"/>
  <c r="F31" i="2"/>
  <c r="F30" i="2"/>
  <c r="F29" i="2" s="1"/>
  <c r="E29" i="2"/>
  <c r="D29" i="2"/>
  <c r="F26" i="2"/>
  <c r="F25" i="2"/>
  <c r="F24" i="2"/>
  <c r="F23" i="2"/>
  <c r="F22" i="2"/>
  <c r="F21" i="2"/>
  <c r="F20" i="2"/>
  <c r="E19" i="2"/>
  <c r="D19" i="2"/>
  <c r="F18" i="2"/>
  <c r="F17" i="2"/>
  <c r="F16" i="2"/>
  <c r="F14" i="2" s="1"/>
  <c r="F15" i="2"/>
  <c r="D15" i="2"/>
  <c r="E14" i="2"/>
  <c r="D14" i="2"/>
  <c r="D13" i="2" s="1"/>
  <c r="F12" i="2"/>
  <c r="F11" i="2" s="1"/>
  <c r="F10" i="2" s="1"/>
  <c r="E11" i="2"/>
  <c r="E10" i="2" s="1"/>
  <c r="D11" i="2"/>
  <c r="D10" i="2" s="1"/>
  <c r="F5" i="2"/>
  <c r="F4" i="2"/>
  <c r="E3" i="2"/>
  <c r="D3" i="2"/>
  <c r="E35" i="1"/>
  <c r="E15" i="1"/>
  <c r="E49" i="1"/>
  <c r="E52" i="1"/>
  <c r="E14" i="1"/>
  <c r="E51" i="1"/>
  <c r="E47" i="1"/>
  <c r="E39" i="1"/>
  <c r="E38" i="1"/>
  <c r="E37" i="1"/>
  <c r="E36" i="1"/>
  <c r="E33" i="1"/>
  <c r="E32" i="1"/>
  <c r="E29" i="1"/>
  <c r="E28" i="1"/>
  <c r="E27" i="1"/>
  <c r="E21" i="1"/>
  <c r="E18" i="1"/>
  <c r="E17" i="1"/>
  <c r="E16" i="1"/>
  <c r="E12" i="1"/>
  <c r="E9" i="1"/>
  <c r="E8" i="1"/>
  <c r="F49" i="1"/>
  <c r="F35" i="1"/>
  <c r="F30" i="1"/>
  <c r="F25" i="1"/>
  <c r="F19" i="1"/>
  <c r="F15" i="1"/>
  <c r="F7" i="1"/>
  <c r="F829" i="2" l="1"/>
  <c r="D993" i="2"/>
  <c r="D992" i="2" s="1"/>
  <c r="F172" i="2"/>
  <c r="F179" i="2"/>
  <c r="F225" i="2"/>
  <c r="F224" i="2" s="1"/>
  <c r="F223" i="2" s="1"/>
  <c r="F998" i="2"/>
  <c r="F1071" i="2"/>
  <c r="F1069" i="2" s="1"/>
  <c r="D1085" i="2"/>
  <c r="D1084" i="2" s="1"/>
  <c r="F1085" i="2"/>
  <c r="F1104" i="2"/>
  <c r="F1103" i="2" s="1"/>
  <c r="F1102" i="2" s="1"/>
  <c r="F1134" i="2"/>
  <c r="F1150" i="2"/>
  <c r="F1153" i="2"/>
  <c r="F1244" i="2"/>
  <c r="F1271" i="2"/>
  <c r="F1270" i="2" s="1"/>
  <c r="F1269" i="2" s="1"/>
  <c r="E1289" i="2"/>
  <c r="E1330" i="2"/>
  <c r="F993" i="2"/>
  <c r="F992" i="2" s="1"/>
  <c r="F67" i="2"/>
  <c r="F66" i="2" s="1"/>
  <c r="F65" i="2" s="1"/>
  <c r="F131" i="2"/>
  <c r="F130" i="2" s="1"/>
  <c r="F129" i="2" s="1"/>
  <c r="F369" i="2"/>
  <c r="F368" i="2" s="1"/>
  <c r="F367" i="2" s="1"/>
  <c r="F366" i="2" s="1"/>
  <c r="F396" i="2"/>
  <c r="D491" i="2"/>
  <c r="F586" i="2"/>
  <c r="F606" i="2"/>
  <c r="E637" i="2"/>
  <c r="F651" i="2"/>
  <c r="F669" i="2"/>
  <c r="D911" i="2"/>
  <c r="D910" i="2" s="1"/>
  <c r="E972" i="2"/>
  <c r="E971" i="2" s="1"/>
  <c r="D1036" i="2"/>
  <c r="D1035" i="2" s="1"/>
  <c r="D1034" i="2" s="1"/>
  <c r="E1065" i="2"/>
  <c r="E1064" i="2" s="1"/>
  <c r="D1205" i="2"/>
  <c r="D1204" i="2" s="1"/>
  <c r="F1206" i="2"/>
  <c r="F1205" i="2" s="1"/>
  <c r="F1204" i="2" s="1"/>
  <c r="E1205" i="2"/>
  <c r="E1204" i="2" s="1"/>
  <c r="D1270" i="2"/>
  <c r="D1269" i="2" s="1"/>
  <c r="F1294" i="2"/>
  <c r="D1298" i="2"/>
  <c r="F1306" i="2"/>
  <c r="F392" i="2"/>
  <c r="D9" i="2"/>
  <c r="E13" i="2"/>
  <c r="F19" i="2"/>
  <c r="F13" i="2" s="1"/>
  <c r="F9" i="2" s="1"/>
  <c r="D76" i="2"/>
  <c r="D75" i="2" s="1"/>
  <c r="E76" i="2"/>
  <c r="E75" i="2" s="1"/>
  <c r="F125" i="2"/>
  <c r="D140" i="2"/>
  <c r="F142" i="2"/>
  <c r="F141" i="2" s="1"/>
  <c r="D256" i="2"/>
  <c r="D295" i="2"/>
  <c r="F302" i="2"/>
  <c r="F300" i="2" s="1"/>
  <c r="F299" i="2" s="1"/>
  <c r="F295" i="2" s="1"/>
  <c r="F362" i="2"/>
  <c r="F360" i="2" s="1"/>
  <c r="F359" i="2" s="1"/>
  <c r="F355" i="2" s="1"/>
  <c r="F380" i="2"/>
  <c r="F379" i="2" s="1"/>
  <c r="F384" i="2"/>
  <c r="E387" i="2"/>
  <c r="E378" i="2" s="1"/>
  <c r="F423" i="2"/>
  <c r="F422" i="2" s="1"/>
  <c r="F421" i="2" s="1"/>
  <c r="F444" i="2"/>
  <c r="D523" i="2"/>
  <c r="D519" i="2" s="1"/>
  <c r="D699" i="2"/>
  <c r="D698" i="2" s="1"/>
  <c r="F744" i="2"/>
  <c r="F878" i="2"/>
  <c r="F877" i="2" s="1"/>
  <c r="F876" i="2" s="1"/>
  <c r="F919" i="2"/>
  <c r="F915" i="2" s="1"/>
  <c r="F941" i="2"/>
  <c r="F940" i="2" s="1"/>
  <c r="F939" i="2" s="1"/>
  <c r="D950" i="2"/>
  <c r="D949" i="2" s="1"/>
  <c r="F951" i="2"/>
  <c r="F1053" i="2"/>
  <c r="F1052" i="2" s="1"/>
  <c r="F1048" i="2" s="1"/>
  <c r="D1065" i="2"/>
  <c r="D1064" i="2" s="1"/>
  <c r="F1066" i="2"/>
  <c r="F1095" i="2"/>
  <c r="F1094" i="2" s="1"/>
  <c r="E1116" i="2"/>
  <c r="E1115" i="2" s="1"/>
  <c r="D1129" i="2"/>
  <c r="D1128" i="2" s="1"/>
  <c r="E1184" i="2"/>
  <c r="E1220" i="2"/>
  <c r="F1226" i="2"/>
  <c r="F1314" i="2"/>
  <c r="F1310" i="2" s="1"/>
  <c r="F1305" i="2" s="1"/>
  <c r="F1298" i="2" s="1"/>
  <c r="F1332" i="2"/>
  <c r="F1335" i="2"/>
  <c r="F323" i="2"/>
  <c r="F322" i="2" s="1"/>
  <c r="F321" i="2" s="1"/>
  <c r="F320" i="2" s="1"/>
  <c r="F955" i="2"/>
  <c r="F1224" i="2"/>
  <c r="F950" i="2"/>
  <c r="F949" i="2" s="1"/>
  <c r="E9" i="2"/>
  <c r="E36" i="2"/>
  <c r="E88" i="2"/>
  <c r="F121" i="2"/>
  <c r="F120" i="2" s="1"/>
  <c r="F119" i="2" s="1"/>
  <c r="E171" i="2"/>
  <c r="E170" i="2" s="1"/>
  <c r="E295" i="2"/>
  <c r="F533" i="2"/>
  <c r="F577" i="2"/>
  <c r="E605" i="2"/>
  <c r="E604" i="2" s="1"/>
  <c r="F615" i="2"/>
  <c r="F610" i="2" s="1"/>
  <c r="F605" i="2" s="1"/>
  <c r="F604" i="2" s="1"/>
  <c r="D642" i="2"/>
  <c r="D641" i="2" s="1"/>
  <c r="D637" i="2" s="1"/>
  <c r="E669" i="2"/>
  <c r="D972" i="2"/>
  <c r="D971" i="2" s="1"/>
  <c r="F973" i="2"/>
  <c r="F981" i="2"/>
  <c r="F1029" i="2"/>
  <c r="F1028" i="2" s="1"/>
  <c r="F1027" i="2" s="1"/>
  <c r="F1040" i="2"/>
  <c r="F1036" i="2" s="1"/>
  <c r="F1035" i="2" s="1"/>
  <c r="F1034" i="2" s="1"/>
  <c r="D1093" i="2"/>
  <c r="D1116" i="2"/>
  <c r="D1115" i="2" s="1"/>
  <c r="F1121" i="2"/>
  <c r="F1130" i="2"/>
  <c r="F1129" i="2" s="1"/>
  <c r="F1128" i="2" s="1"/>
  <c r="D1162" i="2"/>
  <c r="F1186" i="2"/>
  <c r="F1185" i="2" s="1"/>
  <c r="F1184" i="2" s="1"/>
  <c r="F1243" i="2"/>
  <c r="F1242" i="2" s="1"/>
  <c r="F1238" i="2" s="1"/>
  <c r="F1262" i="2"/>
  <c r="F1261" i="2" s="1"/>
  <c r="D1289" i="2"/>
  <c r="D1288" i="2" s="1"/>
  <c r="F1290" i="2"/>
  <c r="D28" i="2"/>
  <c r="E28" i="2"/>
  <c r="F37" i="2"/>
  <c r="D92" i="2"/>
  <c r="D88" i="2" s="1"/>
  <c r="F93" i="2"/>
  <c r="F92" i="2" s="1"/>
  <c r="F88" i="2" s="1"/>
  <c r="F107" i="2"/>
  <c r="F136" i="2"/>
  <c r="F135" i="2" s="1"/>
  <c r="F134" i="2" s="1"/>
  <c r="F192" i="2"/>
  <c r="F191" i="2" s="1"/>
  <c r="F190" i="2" s="1"/>
  <c r="F207" i="2"/>
  <c r="F206" i="2" s="1"/>
  <c r="F202" i="2" s="1"/>
  <c r="D213" i="2"/>
  <c r="E222" i="2"/>
  <c r="F252" i="2"/>
  <c r="F251" i="2" s="1"/>
  <c r="F250" i="2" s="1"/>
  <c r="F261" i="2"/>
  <c r="F260" i="2" s="1"/>
  <c r="F256" i="2" s="1"/>
  <c r="E366" i="2"/>
  <c r="D435" i="2"/>
  <c r="D431" i="2" s="1"/>
  <c r="E435" i="2"/>
  <c r="D463" i="2"/>
  <c r="D462" i="2" s="1"/>
  <c r="F464" i="2"/>
  <c r="F510" i="2"/>
  <c r="F706" i="2"/>
  <c r="F702" i="2" s="1"/>
  <c r="D744" i="2"/>
  <c r="F769" i="2"/>
  <c r="F764" i="2" s="1"/>
  <c r="F930" i="2"/>
  <c r="F929" i="2" s="1"/>
  <c r="F928" i="2" s="1"/>
  <c r="F1162" i="2"/>
  <c r="D1216" i="2"/>
  <c r="E1270" i="2"/>
  <c r="E1269" i="2" s="1"/>
  <c r="D355" i="2"/>
  <c r="F528" i="2"/>
  <c r="F581" i="2"/>
  <c r="F576" i="2" s="1"/>
  <c r="F575" i="2" s="1"/>
  <c r="F646" i="2"/>
  <c r="E753" i="2"/>
  <c r="E752" i="2" s="1"/>
  <c r="F763" i="2"/>
  <c r="F760" i="2" s="1"/>
  <c r="D760" i="2"/>
  <c r="D759" i="2" s="1"/>
  <c r="D753" i="2" s="1"/>
  <c r="D171" i="2"/>
  <c r="D170" i="2" s="1"/>
  <c r="F175" i="2"/>
  <c r="F171" i="2" s="1"/>
  <c r="F170" i="2" s="1"/>
  <c r="D36" i="2"/>
  <c r="F48" i="2"/>
  <c r="F44" i="2" s="1"/>
  <c r="F80" i="2"/>
  <c r="F104" i="2"/>
  <c r="F116" i="2"/>
  <c r="F115" i="2" s="1"/>
  <c r="F114" i="2" s="1"/>
  <c r="F146" i="2"/>
  <c r="F145" i="2" s="1"/>
  <c r="F140" i="2" s="1"/>
  <c r="F159" i="2"/>
  <c r="F158" i="2" s="1"/>
  <c r="F157" i="2" s="1"/>
  <c r="F167" i="2"/>
  <c r="F166" i="2" s="1"/>
  <c r="D202" i="2"/>
  <c r="E213" i="2"/>
  <c r="F218" i="2"/>
  <c r="F217" i="2" s="1"/>
  <c r="F213" i="2" s="1"/>
  <c r="F230" i="2"/>
  <c r="F229" i="2" s="1"/>
  <c r="F228" i="2" s="1"/>
  <c r="F222" i="2" s="1"/>
  <c r="F238" i="2"/>
  <c r="F237" i="2" s="1"/>
  <c r="F236" i="2" s="1"/>
  <c r="F242" i="2"/>
  <c r="D267" i="2"/>
  <c r="F272" i="2"/>
  <c r="F271" i="2" s="1"/>
  <c r="F267" i="2" s="1"/>
  <c r="F350" i="2"/>
  <c r="E355" i="2"/>
  <c r="F388" i="2"/>
  <c r="F387" i="2" s="1"/>
  <c r="F378" i="2" s="1"/>
  <c r="E431" i="2"/>
  <c r="F440" i="2"/>
  <c r="F468" i="2"/>
  <c r="F463" i="2" s="1"/>
  <c r="F462" i="2" s="1"/>
  <c r="F496" i="2"/>
  <c r="F570" i="2"/>
  <c r="F569" i="2" s="1"/>
  <c r="F568" i="2" s="1"/>
  <c r="D576" i="2"/>
  <c r="D575" i="2" s="1"/>
  <c r="E576" i="2"/>
  <c r="E575" i="2" s="1"/>
  <c r="F642" i="2"/>
  <c r="F641" i="2" s="1"/>
  <c r="F637" i="2" s="1"/>
  <c r="F699" i="2"/>
  <c r="F977" i="2"/>
  <c r="F1084" i="2"/>
  <c r="F1252" i="2"/>
  <c r="F789" i="2"/>
  <c r="F788" i="2" s="1"/>
  <c r="F811" i="2"/>
  <c r="F810" i="2" s="1"/>
  <c r="F809" i="2" s="1"/>
  <c r="F897" i="2"/>
  <c r="E911" i="2"/>
  <c r="E910" i="2" s="1"/>
  <c r="E909" i="2" s="1"/>
  <c r="F946" i="2"/>
  <c r="F945" i="2" s="1"/>
  <c r="F944" i="2" s="1"/>
  <c r="E1093" i="2"/>
  <c r="F1093" i="2"/>
  <c r="F1117" i="2"/>
  <c r="D1149" i="2"/>
  <c r="D1148" i="2" s="1"/>
  <c r="E1216" i="2"/>
  <c r="F1221" i="2"/>
  <c r="D1331" i="2"/>
  <c r="D1330" i="2" s="1"/>
  <c r="F8" i="3"/>
  <c r="D12" i="3"/>
  <c r="D2" i="3" s="1"/>
  <c r="D1" i="3" s="1"/>
  <c r="F26" i="3"/>
  <c r="F25" i="3" s="1"/>
  <c r="F12" i="3" s="1"/>
  <c r="E39" i="3"/>
  <c r="E25" i="3" s="1"/>
  <c r="F45" i="3"/>
  <c r="E54" i="3"/>
  <c r="F75" i="3"/>
  <c r="F98" i="3"/>
  <c r="F101" i="3"/>
  <c r="E127" i="3"/>
  <c r="E126" i="3" s="1"/>
  <c r="E12" i="3"/>
  <c r="F127" i="3"/>
  <c r="F126" i="3" s="1"/>
  <c r="F124" i="3" s="1"/>
  <c r="F104" i="3" s="1"/>
  <c r="D156" i="3"/>
  <c r="E124" i="3"/>
  <c r="E104" i="3" s="1"/>
  <c r="D27" i="2"/>
  <c r="F28" i="2"/>
  <c r="F76" i="2"/>
  <c r="F75" i="2" s="1"/>
  <c r="D150" i="2"/>
  <c r="E202" i="2"/>
  <c r="D255" i="2"/>
  <c r="D235" i="2" s="1"/>
  <c r="E256" i="2"/>
  <c r="E339" i="2"/>
  <c r="F347" i="2"/>
  <c r="D366" i="2"/>
  <c r="F435" i="2"/>
  <c r="F431" i="2" s="1"/>
  <c r="F3" i="2"/>
  <c r="D230" i="2"/>
  <c r="D229" i="2" s="1"/>
  <c r="D228" i="2" s="1"/>
  <c r="D222" i="2" s="1"/>
  <c r="E272" i="2"/>
  <c r="E271" i="2" s="1"/>
  <c r="E267" i="2" s="1"/>
  <c r="D317" i="2"/>
  <c r="D316" i="2" s="1"/>
  <c r="D347" i="2"/>
  <c r="D346" i="2" s="1"/>
  <c r="D339" i="2" s="1"/>
  <c r="D388" i="2"/>
  <c r="D387" i="2" s="1"/>
  <c r="D415" i="2"/>
  <c r="D414" i="2" s="1"/>
  <c r="E463" i="2"/>
  <c r="E462" i="2" s="1"/>
  <c r="F488" i="2"/>
  <c r="F487" i="2" s="1"/>
  <c r="D487" i="2"/>
  <c r="D486" i="2" s="1"/>
  <c r="D482" i="2" s="1"/>
  <c r="E491" i="2"/>
  <c r="E486" i="2" s="1"/>
  <c r="E482" i="2" s="1"/>
  <c r="F524" i="2"/>
  <c r="E528" i="2"/>
  <c r="D669" i="2"/>
  <c r="F681" i="2"/>
  <c r="D694" i="2"/>
  <c r="D693" i="2" s="1"/>
  <c r="F727" i="2"/>
  <c r="F726" i="2" s="1"/>
  <c r="E744" i="2"/>
  <c r="F804" i="2"/>
  <c r="F803" i="2" s="1"/>
  <c r="F802" i="2" s="1"/>
  <c r="F481" i="2"/>
  <c r="F480" i="2" s="1"/>
  <c r="F479" i="2" s="1"/>
  <c r="F478" i="2" s="1"/>
  <c r="D480" i="2"/>
  <c r="D479" i="2" s="1"/>
  <c r="D478" i="2" s="1"/>
  <c r="E523" i="2"/>
  <c r="E519" i="2" s="1"/>
  <c r="E681" i="2"/>
  <c r="D557" i="2"/>
  <c r="D556" i="2" s="1"/>
  <c r="D555" i="2" s="1"/>
  <c r="D606" i="2"/>
  <c r="D605" i="2" s="1"/>
  <c r="D604" i="2" s="1"/>
  <c r="E702" i="2"/>
  <c r="E698" i="2" s="1"/>
  <c r="E694" i="2" s="1"/>
  <c r="D821" i="2"/>
  <c r="D820" i="2" s="1"/>
  <c r="D819" i="2" s="1"/>
  <c r="F834" i="2"/>
  <c r="F828" i="2" s="1"/>
  <c r="F824" i="2" s="1"/>
  <c r="F868" i="2"/>
  <c r="F866" i="2" s="1"/>
  <c r="E866" i="2"/>
  <c r="E863" i="2" s="1"/>
  <c r="E862" i="2" s="1"/>
  <c r="E823" i="2" s="1"/>
  <c r="F936" i="2"/>
  <c r="F935" i="2" s="1"/>
  <c r="F934" i="2" s="1"/>
  <c r="E1036" i="2"/>
  <c r="E1035" i="2" s="1"/>
  <c r="E1034" i="2" s="1"/>
  <c r="E1085" i="2"/>
  <c r="E1084" i="2" s="1"/>
  <c r="F1149" i="2"/>
  <c r="F1148" i="2" s="1"/>
  <c r="E1170" i="2"/>
  <c r="E1169" i="2" s="1"/>
  <c r="D823" i="2"/>
  <c r="F863" i="2"/>
  <c r="F862" i="2" s="1"/>
  <c r="F914" i="2"/>
  <c r="F912" i="2" s="1"/>
  <c r="F1113" i="2"/>
  <c r="F1112" i="2" s="1"/>
  <c r="F1111" i="2" s="1"/>
  <c r="F1107" i="2" s="1"/>
  <c r="D1112" i="2"/>
  <c r="D1111" i="2" s="1"/>
  <c r="D1107" i="2" s="1"/>
  <c r="E1162" i="2"/>
  <c r="F1331" i="2"/>
  <c r="F1330" i="2" s="1"/>
  <c r="E1306" i="2"/>
  <c r="E1305" i="2" s="1"/>
  <c r="E1298" i="2" s="1"/>
  <c r="E1063" i="2" s="1"/>
  <c r="F24" i="1"/>
  <c r="F6" i="1"/>
  <c r="F972" i="2" l="1"/>
  <c r="F971" i="2" s="1"/>
  <c r="F491" i="2"/>
  <c r="F698" i="2"/>
  <c r="F694" i="2" s="1"/>
  <c r="F693" i="2" s="1"/>
  <c r="F1289" i="2"/>
  <c r="F1288" i="2" s="1"/>
  <c r="F1065" i="2"/>
  <c r="F1064" i="2" s="1"/>
  <c r="F1063" i="2" s="1"/>
  <c r="D909" i="2"/>
  <c r="D752" i="2"/>
  <c r="E574" i="2"/>
  <c r="E128" i="2"/>
  <c r="E6" i="2" s="1"/>
  <c r="E2" i="2" s="1"/>
  <c r="F1116" i="2"/>
  <c r="F1115" i="2" s="1"/>
  <c r="F36" i="2"/>
  <c r="F27" i="2" s="1"/>
  <c r="F8" i="2" s="1"/>
  <c r="E27" i="2"/>
  <c r="E8" i="2" s="1"/>
  <c r="F911" i="2"/>
  <c r="F910" i="2" s="1"/>
  <c r="F909" i="2" s="1"/>
  <c r="D277" i="2"/>
  <c r="E277" i="2"/>
  <c r="F1220" i="2"/>
  <c r="F1216" i="2" s="1"/>
  <c r="D574" i="2"/>
  <c r="F486" i="2"/>
  <c r="F482" i="2" s="1"/>
  <c r="D128" i="2"/>
  <c r="F103" i="2"/>
  <c r="F102" i="2" s="1"/>
  <c r="E376" i="2"/>
  <c r="F128" i="2"/>
  <c r="D8" i="2"/>
  <c r="F255" i="2"/>
  <c r="F235" i="2" s="1"/>
  <c r="F759" i="2"/>
  <c r="F753" i="2" s="1"/>
  <c r="F752" i="2" s="1"/>
  <c r="D1063" i="2"/>
  <c r="F823" i="2"/>
  <c r="F523" i="2"/>
  <c r="F519" i="2" s="1"/>
  <c r="F376" i="2" s="1"/>
  <c r="F346" i="2"/>
  <c r="F339" i="2" s="1"/>
  <c r="F277" i="2" s="1"/>
  <c r="F156" i="3"/>
  <c r="E2" i="3"/>
  <c r="E1" i="3" s="1"/>
  <c r="E156" i="3"/>
  <c r="F2" i="3"/>
  <c r="F1" i="3" s="1"/>
  <c r="E693" i="2"/>
  <c r="E573" i="2"/>
  <c r="F574" i="2"/>
  <c r="D573" i="2"/>
  <c r="D378" i="2"/>
  <c r="D376" i="2" s="1"/>
  <c r="E255" i="2"/>
  <c r="E235" i="2" s="1"/>
  <c r="F34" i="1"/>
  <c r="F48" i="1" s="1"/>
  <c r="D52" i="1"/>
  <c r="D49" i="1"/>
  <c r="D35" i="1"/>
  <c r="D31" i="1"/>
  <c r="D25" i="1"/>
  <c r="D19" i="1"/>
  <c r="D15" i="1"/>
  <c r="D7" i="1"/>
  <c r="D6" i="2" l="1"/>
  <c r="D2" i="2" s="1"/>
  <c r="F573" i="2"/>
  <c r="F2" i="2"/>
  <c r="F6" i="2"/>
  <c r="D30" i="1"/>
  <c r="D24" i="1" s="1"/>
  <c r="E31" i="1"/>
  <c r="D6" i="1"/>
  <c r="D34" i="1" s="1"/>
  <c r="D48" i="1" s="1"/>
  <c r="E25" i="1"/>
  <c r="E7" i="1"/>
  <c r="E6" i="1" s="1"/>
  <c r="E30" i="1"/>
  <c r="E24" i="1" l="1"/>
  <c r="E34" i="1" s="1"/>
  <c r="E48" i="1" s="1"/>
</calcChain>
</file>

<file path=xl/comments1.xml><?xml version="1.0" encoding="utf-8"?>
<comments xmlns="http://schemas.openxmlformats.org/spreadsheetml/2006/main">
  <authors>
    <author>kerstis</author>
  </authors>
  <commentList>
    <comment ref="C40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  <charset val="1"/>
          </rPr>
          <t>Ruth:</t>
        </r>
        <r>
          <rPr>
            <sz val="10"/>
            <rFont val="Arial"/>
            <family val="2"/>
            <charset val="1"/>
          </rPr>
          <t>Kuludesse on arvestatud laenu tagasimaksed, kuid TULUDES puudub vaba raha, aastalõpu vaba jääk!! Põhitegevuse tulemi mõttes laenu põhiosatagasimaksed arvestatakse finantseerimistehingustes, ses mõttes tulud ületavad kulusid</t>
        </r>
      </text>
    </comment>
    <comment ref="G145" authorId="0">
      <text>
        <r>
          <rPr>
            <sz val="10"/>
            <rFont val="Arial"/>
            <family val="2"/>
            <charset val="1"/>
          </rPr>
          <t>Ruth:</t>
        </r>
        <r>
          <rPr>
            <sz val="10"/>
            <rFont val="Arial"/>
            <family val="2"/>
            <charset val="1"/>
          </rPr>
          <t>RRÜ-Riigi Raamatupidamise Üldeeskiri uue nimetusega Finantsjuhtimise …….</t>
        </r>
      </text>
    </comment>
  </commentList>
</comments>
</file>

<file path=xl/sharedStrings.xml><?xml version="1.0" encoding="utf-8"?>
<sst xmlns="http://schemas.openxmlformats.org/spreadsheetml/2006/main" count="5229" uniqueCount="1029">
  <si>
    <t>Kirje nimetus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</si>
  <si>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</si>
  <si>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</si>
  <si>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</si>
  <si>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</si>
  <si>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</si>
  <si>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</si>
  <si>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</si>
  <si>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</si>
  <si>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</si>
  <si>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</si>
  <si>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</si>
  <si>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</si>
  <si>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</si>
  <si>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</si>
  <si>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</si>
  <si>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</si>
  <si>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</si>
  <si>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</si>
  <si>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</si>
  <si>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</si>
  <si>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</si>
  <si>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</si>
  <si>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</si>
  <si>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</si>
  <si>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</si>
  <si>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</si>
  <si>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</si>
  <si>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</si>
  <si>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</si>
  <si>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</si>
  <si>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</si>
  <si>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</si>
  <si>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</si>
  <si>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</si>
  <si>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</si>
  <si>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</si>
  <si>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</si>
  <si>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</si>
  <si>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</si>
  <si>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</si>
  <si>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</si>
  <si>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</si>
  <si>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</si>
  <si>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</si>
  <si>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</si>
  <si>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</si>
  <si>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</si>
  <si>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</si>
  <si>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</si>
  <si>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</si>
  <si>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</si>
  <si>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</si>
  <si>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</si>
  <si>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</si>
  <si>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</si>
  <si>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</si>
  <si>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</si>
  <si>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</si>
  <si>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</si>
  <si>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</si>
  <si>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</si>
  <si>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01</t>
  </si>
  <si>
    <t>01111</t>
  </si>
  <si>
    <t>01112</t>
  </si>
  <si>
    <t>01114</t>
  </si>
  <si>
    <t>Reservfond</t>
  </si>
  <si>
    <t>01600</t>
  </si>
  <si>
    <t>01700</t>
  </si>
  <si>
    <t>Valitsussektori võla teenindamine</t>
  </si>
  <si>
    <t>03</t>
  </si>
  <si>
    <t>04</t>
  </si>
  <si>
    <t>04210</t>
  </si>
  <si>
    <t>04220</t>
  </si>
  <si>
    <t>Metsamajandus</t>
  </si>
  <si>
    <t>Elektrienergia</t>
  </si>
  <si>
    <t>04512</t>
  </si>
  <si>
    <t>04900</t>
  </si>
  <si>
    <t>05</t>
  </si>
  <si>
    <t>05100</t>
  </si>
  <si>
    <t>05200</t>
  </si>
  <si>
    <t>Heitveekäitlus</t>
  </si>
  <si>
    <t>05400</t>
  </si>
  <si>
    <t>06</t>
  </si>
  <si>
    <t>06200</t>
  </si>
  <si>
    <t>06300</t>
  </si>
  <si>
    <t>07</t>
  </si>
  <si>
    <t>07600</t>
  </si>
  <si>
    <t>08</t>
  </si>
  <si>
    <t>08109</t>
  </si>
  <si>
    <t>Vaba aja üritused</t>
  </si>
  <si>
    <t>08201</t>
  </si>
  <si>
    <t>Teatrid</t>
  </si>
  <si>
    <t>08300</t>
  </si>
  <si>
    <t>Ringhäälingu- ja kirjastamisteenused</t>
  </si>
  <si>
    <t>08400</t>
  </si>
  <si>
    <t>Religiooni- ja muud ühiskonnateenused</t>
  </si>
  <si>
    <t>09</t>
  </si>
  <si>
    <t>09110</t>
  </si>
  <si>
    <t>09210</t>
  </si>
  <si>
    <t>09600</t>
  </si>
  <si>
    <t>10</t>
  </si>
  <si>
    <t>10400</t>
  </si>
  <si>
    <t>10701</t>
  </si>
  <si>
    <t xml:space="preserve">Sh muud eelpool nimetamata muud tegevustulud </t>
  </si>
  <si>
    <t>3880, 3888</t>
  </si>
  <si>
    <t>lisa 1</t>
  </si>
  <si>
    <t>Kinnitatud Rakvere linnavolikogu</t>
  </si>
  <si>
    <t>2017 Lisaeelarve</t>
  </si>
  <si>
    <t>xx.xx.2017.a määrusega nr xx</t>
  </si>
  <si>
    <r>
      <t>2017 Eelarve</t>
    </r>
    <r>
      <rPr>
        <sz val="8"/>
        <color indexed="8"/>
        <rFont val="Times New Roman"/>
        <family val="1"/>
        <charset val="186"/>
      </rPr>
      <t xml:space="preserve"> (kassapõhine)</t>
    </r>
  </si>
  <si>
    <r>
      <t>2017 Lisaeelarve</t>
    </r>
    <r>
      <rPr>
        <sz val="8"/>
        <color indexed="8"/>
        <rFont val="Times New Roman"/>
        <family val="1"/>
        <charset val="186"/>
      </rPr>
      <t xml:space="preserve"> (kassapõhine)</t>
    </r>
  </si>
  <si>
    <r>
      <t xml:space="preserve">2017 Lõplik eelarve </t>
    </r>
    <r>
      <rPr>
        <sz val="8"/>
        <color indexed="8"/>
        <rFont val="Times New Roman"/>
        <family val="1"/>
        <charset val="186"/>
      </rPr>
      <t>(kassapõhine)</t>
    </r>
  </si>
  <si>
    <t>Rakvere linna 2017.aasta lisaeelarve</t>
  </si>
  <si>
    <t>Tulud - kulud (vaba raha)</t>
  </si>
  <si>
    <t>Tulud kokku (sh laenu võtmine ja vaba raha 31.12.2016)</t>
  </si>
  <si>
    <t>Laenu võtmine (-)</t>
  </si>
  <si>
    <t>Laenu põhiosa tagasimaksed</t>
  </si>
  <si>
    <t>Tegevusalade kulud kokku</t>
  </si>
  <si>
    <t>TA kood</t>
  </si>
  <si>
    <t>Kulu liik</t>
  </si>
  <si>
    <t>Nimi</t>
  </si>
  <si>
    <t>2017 EELARVE</t>
  </si>
  <si>
    <t>2017 EA Lõplik</t>
  </si>
  <si>
    <t>Kommentaarid</t>
  </si>
  <si>
    <t>ÜLDISED VALITSUSSEKTORI TEENUSED</t>
  </si>
  <si>
    <t>Linnavolikogu</t>
  </si>
  <si>
    <t>1</t>
  </si>
  <si>
    <t>Varad 1 Kokku</t>
  </si>
  <si>
    <t>15</t>
  </si>
  <si>
    <t>Materiaalsete ja immateriaalsete varade soetamine</t>
  </si>
  <si>
    <t>1556</t>
  </si>
  <si>
    <t>Inventari soetamine ja renoveerimine</t>
  </si>
  <si>
    <t>5</t>
  </si>
  <si>
    <t>Tegevuskulud Tööjõu- ja majandamiskulud</t>
  </si>
  <si>
    <t>50</t>
  </si>
  <si>
    <t>5000</t>
  </si>
  <si>
    <t>Valitavate ja ametisse nimetavate ametnike töötasu</t>
  </si>
  <si>
    <t>5002</t>
  </si>
  <si>
    <t>Töötajate töötasu</t>
  </si>
  <si>
    <t>505</t>
  </si>
  <si>
    <t>Erisoodustused</t>
  </si>
  <si>
    <t>506</t>
  </si>
  <si>
    <t>Personalikuludega kaasnevad maksud ja sotsiaalkind</t>
  </si>
  <si>
    <t>SM 33% korrigeerimine</t>
  </si>
  <si>
    <t>55</t>
  </si>
  <si>
    <t>5500</t>
  </si>
  <si>
    <t>Administreerimiskulud</t>
  </si>
  <si>
    <t>5503</t>
  </si>
  <si>
    <t>Lähetuskulud</t>
  </si>
  <si>
    <t>5504</t>
  </si>
  <si>
    <t>Koolituskulud</t>
  </si>
  <si>
    <t>5513</t>
  </si>
  <si>
    <t>Sõidukite ülalpidamise kulud, v.a kaitseotstarbeli</t>
  </si>
  <si>
    <t>5514</t>
  </si>
  <si>
    <t>Info- ja kommunikatsioonitehnoloogia kulud</t>
  </si>
  <si>
    <t>5515</t>
  </si>
  <si>
    <t>Inventari kulud, v.a infotehnoloogia ja kaitseotst</t>
  </si>
  <si>
    <t>5522</t>
  </si>
  <si>
    <t>Meditsiini- ja hügieenikulud</t>
  </si>
  <si>
    <t>Linnavalitsus</t>
  </si>
  <si>
    <t>1501</t>
  </si>
  <si>
    <t>osaluste soetus</t>
  </si>
  <si>
    <t>1551</t>
  </si>
  <si>
    <t>Rajatiste ja hoonete soetamine ja renoveerimine</t>
  </si>
  <si>
    <t xml:space="preserve">Lai 20 remondikulud; </t>
  </si>
  <si>
    <t>4</t>
  </si>
  <si>
    <t>Antud toetused</t>
  </si>
  <si>
    <t>41</t>
  </si>
  <si>
    <t>Sotsiaaltoetused</t>
  </si>
  <si>
    <t>4139</t>
  </si>
  <si>
    <t>Preemiad ja stipendiumid, muud autasud</t>
  </si>
  <si>
    <t>5001</t>
  </si>
  <si>
    <t>Avaliku teenistuse ametnike töötasu</t>
  </si>
  <si>
    <t>5005</t>
  </si>
  <si>
    <t>Töötasud võlaõiguslike (VÕS) lepingute alusel</t>
  </si>
  <si>
    <t>5511</t>
  </si>
  <si>
    <t>Kinnistute, hoonete ja ruumide majandamiskulud</t>
  </si>
  <si>
    <t>551100</t>
  </si>
  <si>
    <t>Küte</t>
  </si>
  <si>
    <t>551101</t>
  </si>
  <si>
    <t>551102</t>
  </si>
  <si>
    <t>Vesi ja kanalisatsioon</t>
  </si>
  <si>
    <t>551103</t>
  </si>
  <si>
    <t>Korrashoiu- ja remondimaterjalid</t>
  </si>
  <si>
    <t>551104</t>
  </si>
  <si>
    <t>Korrashoiuteenused</t>
  </si>
  <si>
    <t>551105</t>
  </si>
  <si>
    <t>Valveteenused</t>
  </si>
  <si>
    <t>551106</t>
  </si>
  <si>
    <t>Remont, restaureerimine, lammutamine</t>
  </si>
  <si>
    <t>551107</t>
  </si>
  <si>
    <t>Kindlustusmaksed</t>
  </si>
  <si>
    <t>551108</t>
  </si>
  <si>
    <t>Üür ja rent</t>
  </si>
  <si>
    <t>5525</t>
  </si>
  <si>
    <t>Kultuuri- ja vaba aja sisustamise kulud</t>
  </si>
  <si>
    <t>5539</t>
  </si>
  <si>
    <t>Muu erivarustus ja erimaterjalid</t>
  </si>
  <si>
    <t>5540</t>
  </si>
  <si>
    <t>Mitmesugused majanduskulud</t>
  </si>
  <si>
    <t>6</t>
  </si>
  <si>
    <t>60</t>
  </si>
  <si>
    <t>Muud kulud (va intressid ja kohustistasud)</t>
  </si>
  <si>
    <t>6010</t>
  </si>
  <si>
    <t>Maksud</t>
  </si>
  <si>
    <t>601010</t>
  </si>
  <si>
    <t>kinnistute arv suurenenud, +Lai 20</t>
  </si>
  <si>
    <t>601070</t>
  </si>
  <si>
    <t>Riigilõivud</t>
  </si>
  <si>
    <t>608</t>
  </si>
  <si>
    <t>RESERVFOND</t>
  </si>
  <si>
    <t>608099</t>
  </si>
  <si>
    <t>01120</t>
  </si>
  <si>
    <t>Rahandus- ja fiskaalpoliitika</t>
  </si>
  <si>
    <t>01330</t>
  </si>
  <si>
    <t>Muud üldised teenused</t>
  </si>
  <si>
    <t>01400</t>
  </si>
  <si>
    <t>Alusuuringud</t>
  </si>
  <si>
    <t>45</t>
  </si>
  <si>
    <t>Muud toetused</t>
  </si>
  <si>
    <t>4500</t>
  </si>
  <si>
    <t>Sihtotstarbelised eraldised jooksvateks kuludeks</t>
  </si>
  <si>
    <t>5502</t>
  </si>
  <si>
    <t>Uurimis- ja arendustööde kulud</t>
  </si>
  <si>
    <t>Muud üldised valitsussektori teenused (valimised)</t>
  </si>
  <si>
    <t>65</t>
  </si>
  <si>
    <t>Intressi-, viivise- ja kohustistasukulud (peale pu</t>
  </si>
  <si>
    <t>6501</t>
  </si>
  <si>
    <t>Intressi-  ja viivisekulud võetud laenudelt</t>
  </si>
  <si>
    <t>01800</t>
  </si>
  <si>
    <t>Üldiseloomuga ülekanded valitsussektoris</t>
  </si>
  <si>
    <t>4528</t>
  </si>
  <si>
    <t>muudele residentidele</t>
  </si>
  <si>
    <t>4529</t>
  </si>
  <si>
    <t>mitteresidentidele</t>
  </si>
  <si>
    <t>AVALIK KORD JA JULGEOLEK</t>
  </si>
  <si>
    <t>03600</t>
  </si>
  <si>
    <t>Muu avalik kord ja julgeolek</t>
  </si>
  <si>
    <t>MAJANDUS</t>
  </si>
  <si>
    <t>Maakorraldus</t>
  </si>
  <si>
    <t>5512</t>
  </si>
  <si>
    <t>Rajatiste majandamiskulud</t>
  </si>
  <si>
    <t>0451001</t>
  </si>
  <si>
    <t>SÕIDUTEED</t>
  </si>
  <si>
    <t xml:space="preserve"> Sellel tegevusalal kajastame edaspidi ainult ehitusalast tegevust</t>
  </si>
  <si>
    <t xml:space="preserve"> -14560.-RE vahendite täpsustus; +1 100 000.-ehituseks+33550,78</t>
  </si>
  <si>
    <t>1554</t>
  </si>
  <si>
    <t>Masinate ja seadmete, sh transpordivahendite soeta</t>
  </si>
  <si>
    <t>Tegevusala koodi muutus RRÜ, UUS ta KOOD 0510101</t>
  </si>
  <si>
    <t>0451002</t>
  </si>
  <si>
    <t>KÕNNITEED</t>
  </si>
  <si>
    <t>Tegevusala koodi muutus RRÜ, UUS ta KOOD 0510102</t>
  </si>
  <si>
    <t>sh 5000 eurot läheb 0540002 heakorra inventar ja keskkonna parendamine</t>
  </si>
  <si>
    <t>0451003</t>
  </si>
  <si>
    <t>LIIKLUSKORRALDUS</t>
  </si>
  <si>
    <t>Lennart: (Hooldustööde maht on viimaste aastatega kasvanud, rajatud palju uusi jalakäijate ülekäiguradasid, suurenenud on markeerimistööde maht)</t>
  </si>
  <si>
    <t>Transpordikorraldus</t>
  </si>
  <si>
    <t>0473001</t>
  </si>
  <si>
    <t>TIK (EAS)</t>
  </si>
  <si>
    <t>1 kuu asendustasu</t>
  </si>
  <si>
    <t>0473002</t>
  </si>
  <si>
    <t>Reklaam</t>
  </si>
  <si>
    <t>0474001</t>
  </si>
  <si>
    <t>Tööstusalade arendamine</t>
  </si>
  <si>
    <t>0474002</t>
  </si>
  <si>
    <t>Planeerimine -ja projekteerimine</t>
  </si>
  <si>
    <t xml:space="preserve">Pika tänava projekteerimishange </t>
  </si>
  <si>
    <t>0474003</t>
  </si>
  <si>
    <t>TARK MAJA</t>
  </si>
  <si>
    <t>4502</t>
  </si>
  <si>
    <t>Sihtotstarbelised eraldised põhivara soetamiseks</t>
  </si>
  <si>
    <t>45028</t>
  </si>
  <si>
    <t>4502801</t>
  </si>
  <si>
    <t>Muudele residentidele toetus</t>
  </si>
  <si>
    <t>Muu majandus kokku</t>
  </si>
  <si>
    <t>0490001</t>
  </si>
  <si>
    <t>Heakorraobjektide inventar</t>
  </si>
  <si>
    <t>muuta TA koodi 05400 02 heakorra inventar ja keskkonna parendamine</t>
  </si>
  <si>
    <t>0490002</t>
  </si>
  <si>
    <t>Muu majandus (sh majanduse haldus)</t>
  </si>
  <si>
    <t xml:space="preserve"> 1390.- aadressiandmete korrastamine, 2016 laekus, väljamakse 2017, lisaks 2 puhastusteenindajat</t>
  </si>
  <si>
    <t>KESKKONNAKAITSE</t>
  </si>
  <si>
    <t>JÄÄTMEKÄITLUS</t>
  </si>
  <si>
    <t>+25 543.- RE vahendid tasandusfond;+ 6500.-Riinu taotlus: Võidu-Ehituse tn ristmikul jäätmete (ka ehitusjäätmete) likvideerimine, maapinna tasandamine, võsa lõikamine. Isetekkelised prügistamised, Soolikaoja reostusallikad</t>
  </si>
  <si>
    <t>0510101</t>
  </si>
  <si>
    <t>SÕIDUTEEDE puhastus</t>
  </si>
  <si>
    <t>2016 nov arve saabus 30.12.2016, tasumine 2017.aastal, TAK Ehitus 2016 arve tasumine 2017, 3600 Signaal arve -nov-dets. aktid liiklusvahendite hooldus; +2075 Signaal-liiklusmärkide montaaž</t>
  </si>
  <si>
    <t>0510102</t>
  </si>
  <si>
    <t>KÕNNITEEDE puhastus</t>
  </si>
  <si>
    <t>-29 612.- läks hange odavamaks; -14 000.-Paisude renoveerimine; 3 500.-Rahvapargi käimlaaukude likvideerimine; -2 000.- Paisudele mõõdulattide paigaldus; -9 500.-Paistiikide puhastamine</t>
  </si>
  <si>
    <t>RagnSells, Lääne-Viru Jäätmekeskus- mahud on kasvanud</t>
  </si>
  <si>
    <t>HEAKORD KOKKU</t>
  </si>
  <si>
    <t>0540001</t>
  </si>
  <si>
    <t>Heakord ja mänguväljakud ANU</t>
  </si>
  <si>
    <t xml:space="preserve"> +1800.- Hanke kallinemne, llinna haljasalade hooldus; -5000 tiikide puhastamise vähendamine</t>
  </si>
  <si>
    <t xml:space="preserve"> +5000.-Katuseraha Lennuki tn mänguväljak +17000 mänguväljak Ausambamäe ja Muru tn; lisaks 18 000 teistele objektidele</t>
  </si>
  <si>
    <t>0540002</t>
  </si>
  <si>
    <t>Heakorra inventar ja keskkonna parendamine RIIN</t>
  </si>
  <si>
    <t>end TA 0490001</t>
  </si>
  <si>
    <t xml:space="preserve"> +10 000katuseraha, +190 000 linna osalus Ausamba ehitushange</t>
  </si>
  <si>
    <t xml:space="preserve"> +10000 paisud Oja tn + 2000paisudele mõõdulatid, sette paksuse mõõtmine ja mahu määramine, +5000 puirskaevud majandus +3500rahvaaia käimlaaukude likvideerimine +4000 Rahvapargi ja Karja tn pargi pais; +60000 paistiikide puhastamine</t>
  </si>
  <si>
    <t xml:space="preserve"> +10 280.- Dambis Eesti OÜ, prügikastid "Hepta 50" arve saabus 30.12.2016, oli planeeritud 2016 eelarvesse; +20000.- uued prüguikastid TA koodilt 04900 01  heakorraobjektide inventar +5000.- uued prügikastid lähevad kallimaks kui algselt planeeritud</t>
  </si>
  <si>
    <t xml:space="preserve"> +3000.- TA koodilt 04900 01  heakorraobjektide inventar</t>
  </si>
  <si>
    <t>ELAMU- JA KOMMUNAALMAJANDUS</t>
  </si>
  <si>
    <t>Lammutustööd</t>
  </si>
  <si>
    <t>VEEVARUSTUS</t>
  </si>
  <si>
    <t>0640001</t>
  </si>
  <si>
    <t>Tänavavalgustus elekter</t>
  </si>
  <si>
    <t>Eelarvet peab suurendama: mahud on kasvanud, lisandunud valgustid</t>
  </si>
  <si>
    <t>0640002</t>
  </si>
  <si>
    <t>Tänavavalgustus remont ja hooldus</t>
  </si>
  <si>
    <t>mahud on kasvanud, lisandunud valgustid</t>
  </si>
  <si>
    <t>0660501</t>
  </si>
  <si>
    <t>Elamu- ja kommunaalmajanduse haldamine</t>
  </si>
  <si>
    <t>remontideks</t>
  </si>
  <si>
    <t>551109</t>
  </si>
  <si>
    <t>Muud kinnistuga seotud kulud</t>
  </si>
  <si>
    <t>0660502</t>
  </si>
  <si>
    <t>Muud elamu- ja komm.m.tegevus LAI 20 (Pangahoone)</t>
  </si>
  <si>
    <t>55112</t>
  </si>
  <si>
    <t>Kinnisvara investeeringute majandamiskulud</t>
  </si>
  <si>
    <t>551120</t>
  </si>
  <si>
    <t>Kinnisvarainvesteeringu küte</t>
  </si>
  <si>
    <t>551121</t>
  </si>
  <si>
    <t>Kinnisvarainvesteeringu elekter</t>
  </si>
  <si>
    <t>551122</t>
  </si>
  <si>
    <t>Kinnisvarainvesteeringu vesi ja kanalisatsioon</t>
  </si>
  <si>
    <t>551123</t>
  </si>
  <si>
    <t>Kinnisvarainvesteeringu korrashoiumaterjalid</t>
  </si>
  <si>
    <t>551124</t>
  </si>
  <si>
    <t>Kinnisvarainvesteeringu korrashoiuteenus</t>
  </si>
  <si>
    <t>551125</t>
  </si>
  <si>
    <t>Kinnisvarainvesteeringu valveteenused</t>
  </si>
  <si>
    <t>551126</t>
  </si>
  <si>
    <t>Kinnisvarainvesteeringu remont</t>
  </si>
  <si>
    <t>551127</t>
  </si>
  <si>
    <t>Kinnisvarainvesteeringu kindlustusmaksed</t>
  </si>
  <si>
    <t>0660503</t>
  </si>
  <si>
    <t>Kalmistud</t>
  </si>
  <si>
    <t xml:space="preserve"> +7754.-  kalmistu kõnniteede ja parkla projekt;+68000.- ehitus</t>
  </si>
  <si>
    <t>+1402.-Hanke kallinemine Kalmistute hooldus; +2000.-lisandunud puude raie suuremas mahus</t>
  </si>
  <si>
    <t>0660504</t>
  </si>
  <si>
    <t>Hulkuvate loomadega seotud tegevus</t>
  </si>
  <si>
    <t>+ 4800.- Hanke kallinemine</t>
  </si>
  <si>
    <t>TERVISHOID</t>
  </si>
  <si>
    <t>07310</t>
  </si>
  <si>
    <t>Üldhaigla teenused</t>
  </si>
  <si>
    <t xml:space="preserve"> +10000.-Rakvere Haigla endoskoobi soetamiseks</t>
  </si>
  <si>
    <t>Muu tervishoid (Tervisekeskus)</t>
  </si>
  <si>
    <t>projektijuhtimise teenus</t>
  </si>
  <si>
    <t>VABA AEG, KULTUUR, RELIGIOON</t>
  </si>
  <si>
    <t>0810201</t>
  </si>
  <si>
    <t>SPORDIKOOL</t>
  </si>
  <si>
    <t>Tegevusala koodi muutus RRÜ, ei oloe enam SPORT vaid HARIDUS 09TA koodiga</t>
  </si>
  <si>
    <t>0810203</t>
  </si>
  <si>
    <t>SPORDIKESKUS</t>
  </si>
  <si>
    <t>Restaure OÜ, tribüünihoone ehitus algas planeeritust hiljem, arve tasumine 2017.aastal; +93 000 põrandakate; +20 000 seinte +laed rek. +23000 korvpalli välisväljakud RRG juures sh 20618.-eurot treeneritoetue arvelt; +20 000 Rahu halli veesüsteem</t>
  </si>
  <si>
    <t>25</t>
  </si>
  <si>
    <t>Saadud ja tasutud kohustused</t>
  </si>
  <si>
    <t>informatiivne, kajastub eelarves laenu põhiosamaksetes</t>
  </si>
  <si>
    <t>2586</t>
  </si>
  <si>
    <t>Võetud laenude tagasimaksmine</t>
  </si>
  <si>
    <t>258602</t>
  </si>
  <si>
    <t>Kapitaliliisingu tagasimaksed</t>
  </si>
  <si>
    <t>korrigeerimine +1,9% personalifonile asendustasu (haigused, puhkused)</t>
  </si>
  <si>
    <t>Rahu halli saali lakkimine</t>
  </si>
  <si>
    <t>suunata remonti</t>
  </si>
  <si>
    <t>5521</t>
  </si>
  <si>
    <t>Toiduained ja toitlustusteenused</t>
  </si>
  <si>
    <t>6502</t>
  </si>
  <si>
    <t>Intressi- ja viivisekulud kapitaliliisingult</t>
  </si>
  <si>
    <t>Reketlonhall</t>
  </si>
  <si>
    <t>0810205</t>
  </si>
  <si>
    <t>SPORDITOETUSED</t>
  </si>
  <si>
    <t xml:space="preserve"> +5000 Katuseraha BC Tarvasele inventari soetuseks</t>
  </si>
  <si>
    <t>0810501</t>
  </si>
  <si>
    <t>MUUSIKAKOOL</t>
  </si>
  <si>
    <t>Tegevusala koodi muutus RRÜ ei ole enam kultuur 08, vaid HARIDUS 09 TA koodiga</t>
  </si>
  <si>
    <t>0810503</t>
  </si>
  <si>
    <t>Laste muusika-ja kunstikoolid-ostetud teenus</t>
  </si>
  <si>
    <t>5524</t>
  </si>
  <si>
    <t>Õppevahendite ja koolituse kulud</t>
  </si>
  <si>
    <t>0810701</t>
  </si>
  <si>
    <t>NOORSOOTÖÖ ja noortekeskused</t>
  </si>
  <si>
    <t>Rivitrummarid, kajastame 5 tegevuskulude all</t>
  </si>
  <si>
    <t xml:space="preserve"> -12 000.-administraatori ametikoht, läheb Kultuurikeskuse TA alla. + 2000.- noorsootöö ametikoht alates 01.07.2017 kahe koondatud koristaja asemel</t>
  </si>
  <si>
    <t xml:space="preserve"> 77.- rivitrummarite juhendaja</t>
  </si>
  <si>
    <t>Tugila projekt</t>
  </si>
  <si>
    <t xml:space="preserve"> +2500 Tugila; +700.-Rivitrummarite riietus</t>
  </si>
  <si>
    <t>0810702</t>
  </si>
  <si>
    <t>Linnamalev</t>
  </si>
  <si>
    <t>RAAMATUKOGU LÄÄNE-VIRU KRK</t>
  </si>
  <si>
    <t xml:space="preserve"> +20 000.-akende remont</t>
  </si>
  <si>
    <t xml:space="preserve"> +100.- Palm Jaanika litsensitasu EV ülekande katteks (jääk oli toodud eelarvesse)</t>
  </si>
  <si>
    <t>Ürituste korraldamise kulud projektide raames</t>
  </si>
  <si>
    <t xml:space="preserve"> +1402 Kult.Min projektid endine EV valdkond</t>
  </si>
  <si>
    <t>Heategevusmüügist laekunud tulude arvelt graafikalauad</t>
  </si>
  <si>
    <t>2016 oktoobri visiidid lükkusid vabade visiidiaegade puudusest jaanuari 2017</t>
  </si>
  <si>
    <t>5523</t>
  </si>
  <si>
    <t>Teavikute ja kunstiesemete kulud</t>
  </si>
  <si>
    <t>552301</t>
  </si>
  <si>
    <t>Teavikud linna eelarve</t>
  </si>
  <si>
    <t>552302</t>
  </si>
  <si>
    <t>Teavikud RIIGI eelarve (sh teised KOV-d va Tapa)</t>
  </si>
  <si>
    <t>RE vahendite korrigeerimine</t>
  </si>
  <si>
    <t>552303</t>
  </si>
  <si>
    <t>Teavikud Lääne-Virumaa KOV-de eelarvest raha</t>
  </si>
  <si>
    <t>552304</t>
  </si>
  <si>
    <t>Teavikud omatuludest (viivised, admin)</t>
  </si>
  <si>
    <t>552450</t>
  </si>
  <si>
    <t>Koolitusteenused KOV Raamatukogud</t>
  </si>
  <si>
    <t>Projekti raames ürituste kulud +200 +485 KULKA end EV valdkond tuleb eelarvesse</t>
  </si>
  <si>
    <t>0820201</t>
  </si>
  <si>
    <t>KULTUURIKESKUS</t>
  </si>
  <si>
    <t xml:space="preserve"> +33000 ehitus vastavalt hinnapakkumisele klassid, kontor, WC-d</t>
  </si>
  <si>
    <t>lisandus administraatori ametikoht, koristaja-2016 kinnitatud ametikohti 9,25, pidi olema 10,25, ühe ametikoha töötasu ei olnud eelarvesse planeeritud; 33% korrigeerimine</t>
  </si>
  <si>
    <t>linnapäevad</t>
  </si>
  <si>
    <t>Evelekt Hulgi OÜ välitelkide arve tasumine jäi 2017.aastasse</t>
  </si>
  <si>
    <t xml:space="preserve">  500.-Kooliteatrite riigifestivali maakondlik voor (Rahvakultuuri Keskus); +20 000.- omatulude arvelt +1000 ilutulestik</t>
  </si>
  <si>
    <t>0820802</t>
  </si>
  <si>
    <t>KULTUURITOETUSED</t>
  </si>
  <si>
    <t>TA koodi muudatus (varem 08208) RRÜ</t>
  </si>
  <si>
    <t xml:space="preserve"> +1000 reservfond ilutulestiku korraldamine, arve saabus 2017.aastal.+5000.-BC Tarvas inventar katuseraha</t>
  </si>
  <si>
    <t>08232</t>
  </si>
  <si>
    <t>Kunst (Kunstigalerii)</t>
  </si>
  <si>
    <t>08234</t>
  </si>
  <si>
    <t>450203</t>
  </si>
  <si>
    <t>valitsussektorisse kuuluvatele sihtasutustele</t>
  </si>
  <si>
    <t>08236</t>
  </si>
  <si>
    <t>Arvo Pärdi Kontserdimaja</t>
  </si>
  <si>
    <t xml:space="preserve"> +10 000.-Vene Kirik, vastavalt taotlusele</t>
  </si>
  <si>
    <t>HARIDUS</t>
  </si>
  <si>
    <t>Alusharidus KOKKU</t>
  </si>
  <si>
    <t>091101</t>
  </si>
  <si>
    <t>TRIIN</t>
  </si>
  <si>
    <t>Mudeli korrigeerimine</t>
  </si>
  <si>
    <t>5505</t>
  </si>
  <si>
    <t>Koolituskulud riigieelarvelisest haridustoetusest</t>
  </si>
  <si>
    <t>ventilatsiooni hooldus</t>
  </si>
  <si>
    <t xml:space="preserve"> +18000.- kiiged ja majandushoone</t>
  </si>
  <si>
    <t>5524901</t>
  </si>
  <si>
    <t>LA Muud õppevahendite ja koolituse kulud</t>
  </si>
  <si>
    <t>Teatripiletid</t>
  </si>
  <si>
    <t>5532</t>
  </si>
  <si>
    <t>Eri- ja vormiriietus, v.a kaitseotstarbelised kulu</t>
  </si>
  <si>
    <t>091102</t>
  </si>
  <si>
    <t>KUNGLA</t>
  </si>
  <si>
    <t>+3000.- meeskonnatöö koolitus, tulu Innove SA-lt</t>
  </si>
  <si>
    <t>1702.- EV renditulu/kulu ületoomine + 700 renditulu +8400 vastavalt taotlusele, trepid ja ventilatsioon</t>
  </si>
  <si>
    <t>091103</t>
  </si>
  <si>
    <t>601090</t>
  </si>
  <si>
    <t>Trahvid</t>
  </si>
  <si>
    <t>ROHUAIA</t>
  </si>
  <si>
    <t>+744.- omanikujärelvalve 2016.a. +29 800.- Tartu Ehitus AS 2016.a.; +6500.- helitehnika; +10 500.-Sunorek-lavakardin</t>
  </si>
  <si>
    <t>vastavalt taotlusele, akustika plaadid</t>
  </si>
  <si>
    <t>2016 arve, tasumine 2017.aastal  1dell ja lenovo</t>
  </si>
  <si>
    <t>091104</t>
  </si>
  <si>
    <t>Lasteaiad ost muud residendid</t>
  </si>
  <si>
    <t>091106</t>
  </si>
  <si>
    <t>45008</t>
  </si>
  <si>
    <t xml:space="preserve">500.- HTM EU rändekavaga saabunud alaealise lõimumistegavuse toetus kulu/tulu </t>
  </si>
  <si>
    <t>091105</t>
  </si>
  <si>
    <t>Lasteaiad ost KOV</t>
  </si>
  <si>
    <t>+ 2000.- lisavajadus 2017</t>
  </si>
  <si>
    <t>Laste päevahoid</t>
  </si>
  <si>
    <t>Hinnatõus 'a 250-ni + lisavajadus</t>
  </si>
  <si>
    <t>Algkooli kohtade ost muud residendid (Vanalinna)</t>
  </si>
  <si>
    <t>092121</t>
  </si>
  <si>
    <t>PÕHIKOOL kokku</t>
  </si>
  <si>
    <t>09212111</t>
  </si>
  <si>
    <t>PÕHIKOOL KOV</t>
  </si>
  <si>
    <t xml:space="preserve">  +1304.-Istrup OÜ, kanalisatsiooni haisu likvideerimine, arve tuli 2017.aastal +23000 katus +8000 põrand saal-koridor</t>
  </si>
  <si>
    <t>Juhi fondi muutus; +300.- jalgratturi koolitus, tulu Maanteeametilt</t>
  </si>
  <si>
    <t xml:space="preserve"> +801 Istrup OÜ 2016.a. arve jõudis 2017 jaanuaris</t>
  </si>
  <si>
    <t xml:space="preserve"> 20 000.-HITSA  +5000 wifi ja IT lahendus</t>
  </si>
  <si>
    <t xml:space="preserve"> +730.- Arvutitark 07.12.2016. arve saabus 2017.aastal arvekeskusesse; +1600.- uue väikaklassi inventar</t>
  </si>
  <si>
    <t>09212112</t>
  </si>
  <si>
    <t>PÕHIKOOL KOV toitlustamine</t>
  </si>
  <si>
    <t>09212121</t>
  </si>
  <si>
    <t>RE Põhikool</t>
  </si>
  <si>
    <t>+2568.- artikli muutus + 49.- RE</t>
  </si>
  <si>
    <t>-2568 koolituse artikli muutus</t>
  </si>
  <si>
    <t>RE</t>
  </si>
  <si>
    <t>09212122</t>
  </si>
  <si>
    <t>RE Põhikool juhtkond</t>
  </si>
  <si>
    <t>KOV eelarvest 31577.-; RE 276.-</t>
  </si>
  <si>
    <t>09212123</t>
  </si>
  <si>
    <t>RE Põhikool toitlustamine</t>
  </si>
  <si>
    <t>092122</t>
  </si>
  <si>
    <t>Põhikoolid ost KOV ja muud residendid</t>
  </si>
  <si>
    <t>Erakoolide toetus 25%</t>
  </si>
  <si>
    <t>siin reserv, a´85% summast</t>
  </si>
  <si>
    <t>0922011</t>
  </si>
  <si>
    <t>GÜMNAASIUM kokku</t>
  </si>
  <si>
    <t>09220111</t>
  </si>
  <si>
    <t>GÜMNAASIUM KOV</t>
  </si>
  <si>
    <t xml:space="preserve"> +10 000 põrandad Vabaduse; +26000 TLn WC; +4000 võimla katus; +7000 B-osa II korrus</t>
  </si>
  <si>
    <t>1555</t>
  </si>
  <si>
    <t>Info- ja kommunikatsioonitehnoloogia seadmete soet</t>
  </si>
  <si>
    <t>+1000 Innove eesti keele õpe -12429.- juhi fondi muutus</t>
  </si>
  <si>
    <t xml:space="preserve"> +20 000.-HITSA + 24700 wifi ja IT seadmed sh 6500.-</t>
  </si>
  <si>
    <t>+5 000.- Har.Min katuseraha</t>
  </si>
  <si>
    <t>09220112</t>
  </si>
  <si>
    <t>GÜMNAASIUM KOV toitlustamine</t>
  </si>
  <si>
    <t>09220121</t>
  </si>
  <si>
    <t>RE Gümnaasium kaudsed kulud</t>
  </si>
  <si>
    <t>+11475.- artikli muutus -1731.- RE</t>
  </si>
  <si>
    <t>09220122</t>
  </si>
  <si>
    <t>RE Gümnaasium juhtkond</t>
  </si>
  <si>
    <t>+17503.- KOV eelarvest-1104.- RE</t>
  </si>
  <si>
    <t>KOV eelarvest</t>
  </si>
  <si>
    <t>09220123</t>
  </si>
  <si>
    <t>RE Gümnaasium põhiharidus pk õpetaja</t>
  </si>
  <si>
    <t>09220124</t>
  </si>
  <si>
    <t>RE Gümnaasium üldkeskharidus gümn õpetaja</t>
  </si>
  <si>
    <t>09220125</t>
  </si>
  <si>
    <t>RE Gümnaasium põhiharidus toitlustamine</t>
  </si>
  <si>
    <t>0922021</t>
  </si>
  <si>
    <t>REAALGÜMNAASIUM kokku</t>
  </si>
  <si>
    <t>09220211</t>
  </si>
  <si>
    <t>REAALGÜMNAASIUM KOV</t>
  </si>
  <si>
    <t xml:space="preserve"> +12000 katus; +5000 võimla akustilised plaadid, + 5000 teise võimla, vana võimla põranda remont</t>
  </si>
  <si>
    <t>Juhi fondi muutus -1608.- -2000.- VÕS lepingud</t>
  </si>
  <si>
    <t>2000.- VÕS lepingud</t>
  </si>
  <si>
    <t xml:space="preserve"> 20 000.-HITSA + 10000.- wifi ja IT vahendid</t>
  </si>
  <si>
    <t>+5000.- Har.Min katuseraha</t>
  </si>
  <si>
    <t>09220212</t>
  </si>
  <si>
    <t>REAALGÜMNAASIUM KOV toitlustamine</t>
  </si>
  <si>
    <t>09220221</t>
  </si>
  <si>
    <t>RE Reaalgümnaasium kaudsed kulud</t>
  </si>
  <si>
    <t>+10932.- artikli muutus + 18.- RE</t>
  </si>
  <si>
    <t>09220222</t>
  </si>
  <si>
    <t>RE Reaalgümnaasium juhtkond</t>
  </si>
  <si>
    <t xml:space="preserve"> 11699.- KOV eelarvest - 276.- RE</t>
  </si>
  <si>
    <t>09220223</t>
  </si>
  <si>
    <t>RE Reaalgümnaasium põhiharidus pk õpetaja</t>
  </si>
  <si>
    <t>09220224</t>
  </si>
  <si>
    <t>RE Reaalgümnaasium üldkeskharidus gümn õpetaja</t>
  </si>
  <si>
    <t>09220225</t>
  </si>
  <si>
    <t>RE Reaalgümnaasium põhiharidus toitlustamine</t>
  </si>
  <si>
    <t>092203</t>
  </si>
  <si>
    <t>Gümnaasiumid ost muudelt residentidelt</t>
  </si>
  <si>
    <t>092204</t>
  </si>
  <si>
    <t>Gümnaasiumid ost KOV</t>
  </si>
  <si>
    <t>092211</t>
  </si>
  <si>
    <t>TÄISKASVANUTE GÜMNAASIUM kokku</t>
  </si>
  <si>
    <t>09221111</t>
  </si>
  <si>
    <t>TÄISKASVANUTE GÜMNAASIUM KOV</t>
  </si>
  <si>
    <t xml:space="preserve"> +79351.- Innove SA - projekt Teisel ringil targaks</t>
  </si>
  <si>
    <t xml:space="preserve"> -1766 juhi fond + 62558 Innove projekt </t>
  </si>
  <si>
    <t xml:space="preserve"> -549.-(-1514 (3% juhifond + 965 Juta Valvik projekti raames õppenõustaja, pidi kirjutama taotluse…) Juhi fondi muutus + 40874.- Innove projekt</t>
  </si>
  <si>
    <t xml:space="preserve"> +75.- juhi fondi muutus +SM 33% korrigeerimine + 13815.- Innove projekt</t>
  </si>
  <si>
    <t xml:space="preserve"> +3300 IKT vastavalt taotlusele</t>
  </si>
  <si>
    <t>09221121</t>
  </si>
  <si>
    <t>RE Rakvere Täiskasvanute Gümnaasium kaudsed kulud</t>
  </si>
  <si>
    <t>+2492.- artikli muutus -454.- RE</t>
  </si>
  <si>
    <t>09221122</t>
  </si>
  <si>
    <t>RE Rakvere Täiskasvanute Gümnaasium juhtkond</t>
  </si>
  <si>
    <t xml:space="preserve"> 7770.- KOV eelarvest - 1656.- RE</t>
  </si>
  <si>
    <t>09221123</t>
  </si>
  <si>
    <t>RE Rakvere Täiskasvanute Gümnaasium pk õpetaja</t>
  </si>
  <si>
    <t>09221124</t>
  </si>
  <si>
    <t>RE Rakvere Täiskasvanute Gümnaasium gümn õpetaja</t>
  </si>
  <si>
    <t>0922113</t>
  </si>
  <si>
    <t>RTG Innove projekt "Teisel ringil targaks"</t>
  </si>
  <si>
    <t>092212</t>
  </si>
  <si>
    <t>Täiskasvanute gümn ost</t>
  </si>
  <si>
    <t/>
  </si>
  <si>
    <t xml:space="preserve"> -2112.- Audentese Erakool</t>
  </si>
  <si>
    <t>0950001</t>
  </si>
  <si>
    <t>Taseme alusel mittemääratletav haridus ost muud</t>
  </si>
  <si>
    <t xml:space="preserve"> -4163.- Rocca aä Mare Kooli AS ja Ostium MTÜ</t>
  </si>
  <si>
    <t>0951001</t>
  </si>
  <si>
    <t>treeneritoetus 60palgakulu jaõritused :40 inventar ja rajatised</t>
  </si>
  <si>
    <t xml:space="preserve"> +6928.-treeneritoetuse arvelt õppe- ja treeningkulude katteks; 6440.- Eesti Noorsootöö Keskuse laagritoetus; 126.- Eesti Lauatennise Liit toetus; +15 434.- Lastevanemate ja toetajate laagritasude osa; +2000.- Varaait</t>
  </si>
  <si>
    <t>0951002</t>
  </si>
  <si>
    <t>projektide raames ürituste korralduskulud EV vahendid EA-sse</t>
  </si>
  <si>
    <t>vastavalt taotlusele</t>
  </si>
  <si>
    <t>Inventar projekti toetusega soetus</t>
  </si>
  <si>
    <t>+648,09 Paku Pingi omaosalus annetustest</t>
  </si>
  <si>
    <t>Koolitransport</t>
  </si>
  <si>
    <t>0960901</t>
  </si>
  <si>
    <t>Ujumise algõpe</t>
  </si>
  <si>
    <t>L-V MV ujumise algõpetuse toetus</t>
  </si>
  <si>
    <t>0960902</t>
  </si>
  <si>
    <t>Hariduse üritused (muud hariduse abiteenused)</t>
  </si>
  <si>
    <t>098000</t>
  </si>
  <si>
    <t>Muu haridus, sh hariduse haldus KOKKU</t>
  </si>
  <si>
    <t>0980001</t>
  </si>
  <si>
    <t>Hariduse majandus</t>
  </si>
  <si>
    <t>68549 RE juhi fondi puudujääk kokku. Reservis olemas 66293.- puudu veel 2256.-</t>
  </si>
  <si>
    <t>-66293.- juhi fond RE-sse</t>
  </si>
  <si>
    <t>-49546.- juhi fondi puudujääk</t>
  </si>
  <si>
    <t>-16747 juhi fondi puudujääk + 71 KOV maksu suurenemine</t>
  </si>
  <si>
    <t>0980002</t>
  </si>
  <si>
    <t>Hariduse üldkulu</t>
  </si>
  <si>
    <t>-2256.- Juhi fondi lisapuudujäägi kate</t>
  </si>
  <si>
    <t>SOTSIAALNE KAITSE</t>
  </si>
  <si>
    <t>1012001</t>
  </si>
  <si>
    <t>Psüh. erivajadustega Päevakeskus MAIRI Riik</t>
  </si>
  <si>
    <t>1012002</t>
  </si>
  <si>
    <t>Puuetega inimeste Päevakeskus (endine Päevalill)</t>
  </si>
  <si>
    <t>4133</t>
  </si>
  <si>
    <t>Toetused puuetega inimestele ja nende hooldajatele</t>
  </si>
  <si>
    <t>5526</t>
  </si>
  <si>
    <t>Sotsiaalteenused</t>
  </si>
  <si>
    <t>1012101</t>
  </si>
  <si>
    <t>Puudega lapse hooldajat.korrald.toetus RE vahendid</t>
  </si>
  <si>
    <t>+35 865.- RE vahendite täpsustus</t>
  </si>
  <si>
    <t>4137</t>
  </si>
  <si>
    <t>Erijuhtudel riigi poolt makstav sotsiaalmaks (sh a</t>
  </si>
  <si>
    <t>4138</t>
  </si>
  <si>
    <t>Muud sotsiaalabitoetused ja eraldised füüsilistel.</t>
  </si>
  <si>
    <t>1012102</t>
  </si>
  <si>
    <t>Hooldajad</t>
  </si>
  <si>
    <t>1020001</t>
  </si>
  <si>
    <t>Hooldekodu eakatele</t>
  </si>
  <si>
    <t>mahud on kasvanud</t>
  </si>
  <si>
    <t>1020002</t>
  </si>
  <si>
    <t>Eakate päevakeskus MAIRI</t>
  </si>
  <si>
    <t>1020101</t>
  </si>
  <si>
    <t>Koduhooldus,  -teenus MAIRI</t>
  </si>
  <si>
    <t>asendused, kõigile töötajatele 13 kuu töötasu</t>
  </si>
  <si>
    <t>SM 33% korrigeerimine + asendus 13 kuud</t>
  </si>
  <si>
    <t>1020105</t>
  </si>
  <si>
    <t>ÜHINGUTE ÜRITUSED JA TOETUSED</t>
  </si>
  <si>
    <t>Laste Päevakeskus MAIRI</t>
  </si>
  <si>
    <t>1040201</t>
  </si>
  <si>
    <t>Vajaduspõhine peretoetus Riikl.vahendid</t>
  </si>
  <si>
    <t>4130</t>
  </si>
  <si>
    <t>Peretoetused</t>
  </si>
  <si>
    <t>+720.- 2016 jääk; +45 460.- RE vahendite täpsustus</t>
  </si>
  <si>
    <t>742.- 2016 RE jääk; +136 RE vahendite täpsustus</t>
  </si>
  <si>
    <t>1040202</t>
  </si>
  <si>
    <t>Tugi-ja asenduskodu</t>
  </si>
  <si>
    <t>1040203</t>
  </si>
  <si>
    <t>Huvihariduse omandamise toetus</t>
  </si>
  <si>
    <t>1040204</t>
  </si>
  <si>
    <t>Tasuta koolitoit</t>
  </si>
  <si>
    <t>1040205</t>
  </si>
  <si>
    <t>Sõidusoodustus õpilastele</t>
  </si>
  <si>
    <t>erivajadustega lastele busiisaatja teenus, osalevad ka Vinni VV ja Rakvere VV</t>
  </si>
  <si>
    <t>4134</t>
  </si>
  <si>
    <t>Õppetoetused</t>
  </si>
  <si>
    <t>1040206</t>
  </si>
  <si>
    <t>Hoidmistasu Lasteaiakoha vabastused</t>
  </si>
  <si>
    <t>1040207</t>
  </si>
  <si>
    <t>Sünnitoetus</t>
  </si>
  <si>
    <t>1040208</t>
  </si>
  <si>
    <t>Ranitsatoetus</t>
  </si>
  <si>
    <t>1040209</t>
  </si>
  <si>
    <t>Perede Tugiteenus MAIRI sh Maavalitsuselt raha end. Lapsehoiuteenus</t>
  </si>
  <si>
    <t>104021</t>
  </si>
  <si>
    <t>Lastelaager</t>
  </si>
  <si>
    <t>1070001</t>
  </si>
  <si>
    <t>Sotsiaalmaja MAIRI</t>
  </si>
  <si>
    <t>1070002</t>
  </si>
  <si>
    <t>Kodutute varjupaik MAIRI</t>
  </si>
  <si>
    <t>RIIKLIK TOIMET. Täiendav sotsiaaltoetus. korraldam</t>
  </si>
  <si>
    <t>4131</t>
  </si>
  <si>
    <t>Toimetulekutoetus ja täiendavad sotsiaaltoetused</t>
  </si>
  <si>
    <t>+11 178.-2016 jääk; +32932 RE vahendite täpsustus</t>
  </si>
  <si>
    <t>+1 309.- 2016 jääk; +22 820.- RE vahendite täpsustus</t>
  </si>
  <si>
    <t>1400,58 2016 jääk; +1248 RE vahendite täpsustus</t>
  </si>
  <si>
    <t>elektriautode kulud 678, 676, 681</t>
  </si>
  <si>
    <t>Ühekordne toetus</t>
  </si>
  <si>
    <t>1070201</t>
  </si>
  <si>
    <t>2016.a kasutamata jääk "Perede toidukorvid"</t>
  </si>
  <si>
    <t>1070202</t>
  </si>
  <si>
    <t>Supiköök MAIRI</t>
  </si>
  <si>
    <t>1070203</t>
  </si>
  <si>
    <t>Toetus represseeritutele</t>
  </si>
  <si>
    <t>1070204</t>
  </si>
  <si>
    <t>Vähekindlustatute õigusabi</t>
  </si>
  <si>
    <t>abivajajate arv tõusnud, lisandub võlanõustamine</t>
  </si>
  <si>
    <t>1070205</t>
  </si>
  <si>
    <t>Tugiisiku teenus</t>
  </si>
  <si>
    <t>läheb SAK haldusalasse</t>
  </si>
  <si>
    <t>1090001</t>
  </si>
  <si>
    <t>Sotsiaalkeskus SAK MAIRI</t>
  </si>
  <si>
    <t xml:space="preserve"> +4 000.-Tugiisiku teenus 1070205 TA-lt  +14 880.-Pagulaste 2016 kasutamata raha</t>
  </si>
  <si>
    <t>1090002</t>
  </si>
  <si>
    <t>Sotsiaaltöötajad ja LV sotsiaalosakonna halduskulu</t>
  </si>
  <si>
    <t>osakonna juhataja palgamäär kõrgem</t>
  </si>
  <si>
    <t xml:space="preserve"> +15000 laekunud 2017 Pagulaste raha</t>
  </si>
  <si>
    <t>1090003</t>
  </si>
  <si>
    <t>Omasteta surnud</t>
  </si>
  <si>
    <t>Tulud + vaba raha +laen</t>
  </si>
  <si>
    <t>Tulud kokku</t>
  </si>
  <si>
    <t>Tulu liik</t>
  </si>
  <si>
    <t>2017 EA</t>
  </si>
  <si>
    <t>2017 lõplik EA</t>
  </si>
  <si>
    <t>1001</t>
  </si>
  <si>
    <t>Rahalised vahendid kulude katteks</t>
  </si>
  <si>
    <t>Aasta lõpu RE vahendid ja hiljem saabunud arved</t>
  </si>
  <si>
    <t>Kohustused</t>
  </si>
  <si>
    <t>2585</t>
  </si>
  <si>
    <t>Muud kohustused (laenu võtmine)</t>
  </si>
  <si>
    <t>30</t>
  </si>
  <si>
    <t>Maksud ja sotsiaalkindlustusmaksed</t>
  </si>
  <si>
    <t>3000</t>
  </si>
  <si>
    <t>3030</t>
  </si>
  <si>
    <t>3045</t>
  </si>
  <si>
    <t>32</t>
  </si>
  <si>
    <t>Kaupade ja teenuste müük</t>
  </si>
  <si>
    <t>320</t>
  </si>
  <si>
    <t>3220</t>
  </si>
  <si>
    <t>Laekumised haridusasutuste majandustegevusest</t>
  </si>
  <si>
    <t>322001</t>
  </si>
  <si>
    <t>Õpilaskoht LA KOV-d</t>
  </si>
  <si>
    <t>322002</t>
  </si>
  <si>
    <t>Õpilaskoht KOOL KOV-d</t>
  </si>
  <si>
    <t>322020</t>
  </si>
  <si>
    <t>Kohatasu LA Lapsevanem</t>
  </si>
  <si>
    <t>322022</t>
  </si>
  <si>
    <t>Kohatasu LA Lapsevanem vabastus</t>
  </si>
  <si>
    <t>322025</t>
  </si>
  <si>
    <t>Muud õppekavalised tegevused</t>
  </si>
  <si>
    <t>+410 Triinu LA teatripiletid +1370 Kungla LA teatripiletid + 1395 Rohuaia LA teatripiletid</t>
  </si>
  <si>
    <t>322030</t>
  </si>
  <si>
    <t>Tasu töövihikute müügist</t>
  </si>
  <si>
    <t>322050</t>
  </si>
  <si>
    <t>Tasu õppekavavälisest tegevusest</t>
  </si>
  <si>
    <t>322090</t>
  </si>
  <si>
    <t>Muud tulud haridusalasest tegevusest</t>
  </si>
  <si>
    <t>32209001</t>
  </si>
  <si>
    <t>Ruumide rent haridusasutused</t>
  </si>
  <si>
    <t>32209002</t>
  </si>
  <si>
    <t>Muud haridusasutuste tulud</t>
  </si>
  <si>
    <t>3221</t>
  </si>
  <si>
    <t>Laekumised kultuuri-ja kunstiasutuste majandustege</t>
  </si>
  <si>
    <t>322100</t>
  </si>
  <si>
    <t>MUUSIKAKOOL tulu kokku</t>
  </si>
  <si>
    <t>32210001</t>
  </si>
  <si>
    <t>Õpilaskoht MK teised KOV-d</t>
  </si>
  <si>
    <t>32210003</t>
  </si>
  <si>
    <t>Õppetasu MK I-IV klass</t>
  </si>
  <si>
    <t>32210004</t>
  </si>
  <si>
    <t>Õppetasu MK V-VII klass</t>
  </si>
  <si>
    <t>32210005</t>
  </si>
  <si>
    <t>Õppetasu MK Eelklass pilliõppega</t>
  </si>
  <si>
    <t>32210006</t>
  </si>
  <si>
    <t>Õppetasu MK Eelklass</t>
  </si>
  <si>
    <t>32210007</t>
  </si>
  <si>
    <t>Õppetasu MK Laulustuudio I</t>
  </si>
  <si>
    <t>32210008</t>
  </si>
  <si>
    <t>Õppetasu MK Laulustuudio II</t>
  </si>
  <si>
    <t>32210009</t>
  </si>
  <si>
    <t>Õppetasu MK Lisaaasta</t>
  </si>
  <si>
    <t>32210010</t>
  </si>
  <si>
    <t>Õppetasu MK Lisapill</t>
  </si>
  <si>
    <t>Õppetasu MK Suvekool</t>
  </si>
  <si>
    <t>+7880.- Muusikakooli projektide lastevanemate tasud EV tegevus EA-sse</t>
  </si>
  <si>
    <t>32210012</t>
  </si>
  <si>
    <t>Õppetasu MK Vabastused Lapsevanem</t>
  </si>
  <si>
    <t>Muusikakool muud tulud</t>
  </si>
  <si>
    <t xml:space="preserve"> +4795.- Muusikakooli projektide osalejate tasud EV tegevus EA-sse; +649,08 Paku Pingi annetuste rahad EV vahenditest eelarvesse</t>
  </si>
  <si>
    <t>322103</t>
  </si>
  <si>
    <t>RAAMATUKOGU tulu kokku</t>
  </si>
  <si>
    <t>32210301</t>
  </si>
  <si>
    <t>Raamatukogu viivised, väljamakstud raamatud</t>
  </si>
  <si>
    <t>32210302</t>
  </si>
  <si>
    <t>Raamatukogu Admin.tulud</t>
  </si>
  <si>
    <t>+521,14 05.03.2017 heategevusmüük IKT uuendamiseks</t>
  </si>
  <si>
    <t>32210303</t>
  </si>
  <si>
    <t>Raamatukogu renditulu</t>
  </si>
  <si>
    <t>32210304</t>
  </si>
  <si>
    <t>Raamatukogu teavikute ettemaks KOV-delt</t>
  </si>
  <si>
    <t>+9975.- KOV-de lepingute maht suurenes</t>
  </si>
  <si>
    <t>32210305</t>
  </si>
  <si>
    <t>Raamatukogu koolitused KOV</t>
  </si>
  <si>
    <t>322105</t>
  </si>
  <si>
    <t>KULTUURIKESKUS tulu kokku</t>
  </si>
  <si>
    <t>32210501</t>
  </si>
  <si>
    <t>Kultuurikeskuse teenused</t>
  </si>
  <si>
    <t xml:space="preserve">ruumide rent </t>
  </si>
  <si>
    <t>32210502</t>
  </si>
  <si>
    <t>Vallimägi elekter</t>
  </si>
  <si>
    <t>32210503</t>
  </si>
  <si>
    <t>Vallimägi vesi</t>
  </si>
  <si>
    <t>32210504</t>
  </si>
  <si>
    <t>Pika tänava laat</t>
  </si>
  <si>
    <t>Piletitulu</t>
  </si>
  <si>
    <t>32210505</t>
  </si>
  <si>
    <t>Noortekeskuse teenused</t>
  </si>
  <si>
    <t xml:space="preserve"> 2000.- jõuluball; 1000.-Volbriöö; 3000.-jm kontserdid</t>
  </si>
  <si>
    <t>322140</t>
  </si>
  <si>
    <t>TIK-i tulu kaupade müügist</t>
  </si>
  <si>
    <t>32219001</t>
  </si>
  <si>
    <t>Linnamaleva osalustasu</t>
  </si>
  <si>
    <t>3222</t>
  </si>
  <si>
    <t>Laekumised spordi-ja puhkeasutuste majandustegevus</t>
  </si>
  <si>
    <t>322200</t>
  </si>
  <si>
    <t>SPORDIKOOL tulu kokku</t>
  </si>
  <si>
    <t>3222001</t>
  </si>
  <si>
    <t>Õpilaskoht SK teised KOV-d</t>
  </si>
  <si>
    <t>3222002</t>
  </si>
  <si>
    <t>Õpilaskoht SK Lapsevanem</t>
  </si>
  <si>
    <t>3222003</t>
  </si>
  <si>
    <t>Õppetasu SK KOV</t>
  </si>
  <si>
    <t>3222004</t>
  </si>
  <si>
    <t>Õppetasu SK Lapsevanem</t>
  </si>
  <si>
    <t>3222005</t>
  </si>
  <si>
    <t>Õppetasu SK laagrid</t>
  </si>
  <si>
    <t xml:space="preserve"> +14934.- lastevanemate laagrite osalustasud</t>
  </si>
  <si>
    <t>3222006</t>
  </si>
  <si>
    <t>Spordikool muud tulud</t>
  </si>
  <si>
    <t>3222007</t>
  </si>
  <si>
    <t>Õppetasu vabastus SK Lapsevanem</t>
  </si>
  <si>
    <t>322201</t>
  </si>
  <si>
    <t>SPORDIKESKUS tulu kokku</t>
  </si>
  <si>
    <t>32220101</t>
  </si>
  <si>
    <t>Spordikeskuse Reklaamitulud (sh müügikapp)</t>
  </si>
  <si>
    <t>32220102</t>
  </si>
  <si>
    <t>Spordikeskuse üürid</t>
  </si>
  <si>
    <t>32220103</t>
  </si>
  <si>
    <t>Spordikeskuse muud tulud</t>
  </si>
  <si>
    <t>32220104</t>
  </si>
  <si>
    <t>Spordikeskuse Kaardimaksed</t>
  </si>
  <si>
    <t>32220105</t>
  </si>
  <si>
    <t>Spordikeskuse Sularaha müük</t>
  </si>
  <si>
    <t>32220106</t>
  </si>
  <si>
    <t>Spordikeskuse elekter</t>
  </si>
  <si>
    <t>32220107</t>
  </si>
  <si>
    <t>Spordikeskuse vesi</t>
  </si>
  <si>
    <t>32220108</t>
  </si>
  <si>
    <t>Spordikeskuse küte</t>
  </si>
  <si>
    <t>32220109</t>
  </si>
  <si>
    <t>Spordikeskuse sidekulud</t>
  </si>
  <si>
    <t>32220110</t>
  </si>
  <si>
    <t>Spordikeskuse muud üüritulud</t>
  </si>
  <si>
    <t>32220111</t>
  </si>
  <si>
    <t>Spordikeskus müüdud Isostar</t>
  </si>
  <si>
    <t>3224</t>
  </si>
  <si>
    <t>SOTSIAALASUTUSTE tulu kokku</t>
  </si>
  <si>
    <t>322401</t>
  </si>
  <si>
    <t>Igapäevaelu toetamine TULU Sotsiaalkindlustusamet</t>
  </si>
  <si>
    <t>322402</t>
  </si>
  <si>
    <t>Koduhooldusteenus</t>
  </si>
  <si>
    <t>322403</t>
  </si>
  <si>
    <t>Toetatud elamine Sotsiaalkindlustusamet</t>
  </si>
  <si>
    <t>322404</t>
  </si>
  <si>
    <t>Hooldekodude tulud</t>
  </si>
  <si>
    <t>322405</t>
  </si>
  <si>
    <t>Sotsiaali renditulud</t>
  </si>
  <si>
    <t>322406</t>
  </si>
  <si>
    <t>SAK-i bussi teenus</t>
  </si>
  <si>
    <t>322407</t>
  </si>
  <si>
    <t>Sotsiaalmaja üür</t>
  </si>
  <si>
    <t>322409</t>
  </si>
  <si>
    <t>Öömajateenus</t>
  </si>
  <si>
    <t>322410</t>
  </si>
  <si>
    <t>322411</t>
  </si>
  <si>
    <t>Saunateenus</t>
  </si>
  <si>
    <t>322412</t>
  </si>
  <si>
    <t>Lastepäevakeskus</t>
  </si>
  <si>
    <t>3225</t>
  </si>
  <si>
    <t>Laekumised elamu- ja kommunaalasutuste majandusteg</t>
  </si>
  <si>
    <t>3229</t>
  </si>
  <si>
    <t>Laekumised üldvalitsemisasutuste majandustegevuses</t>
  </si>
  <si>
    <t>3232</t>
  </si>
  <si>
    <t>Laekumised muude majandusküsimustega tegelevate as</t>
  </si>
  <si>
    <t>3233</t>
  </si>
  <si>
    <t>Üüri- ja renditulud toodetud materiaalsetelt ja im</t>
  </si>
  <si>
    <t>323300</t>
  </si>
  <si>
    <t>Üür ja rent kinnisvarainvesteeringutelt</t>
  </si>
  <si>
    <t>323310</t>
  </si>
  <si>
    <t>Üür ja rent eluruumidelt</t>
  </si>
  <si>
    <t>323320</t>
  </si>
  <si>
    <t>Üür ja rent mitteeluruumidelt</t>
  </si>
  <si>
    <t>323330</t>
  </si>
  <si>
    <t>Muu vara üür ja rent</t>
  </si>
  <si>
    <t>323340</t>
  </si>
  <si>
    <t>Tulu elektrienergia müügist</t>
  </si>
  <si>
    <t>323350</t>
  </si>
  <si>
    <t>Tulu vee- ja kanalisatsiooniteenuse osutamisest</t>
  </si>
  <si>
    <t>323360</t>
  </si>
  <si>
    <t>Tulu soojuse ja kütte müügist</t>
  </si>
  <si>
    <t>323390</t>
  </si>
  <si>
    <t>Muu tulu üüri ja rendiga kaasnevast tegevusest</t>
  </si>
  <si>
    <t>32339001</t>
  </si>
  <si>
    <t>Välireklaam</t>
  </si>
  <si>
    <t>32339002</t>
  </si>
  <si>
    <t>Prügivedu</t>
  </si>
  <si>
    <t>3237</t>
  </si>
  <si>
    <t>Laekumised õiguste müügist</t>
  </si>
  <si>
    <t>323700</t>
  </si>
  <si>
    <t>Hoonestusõiguse müük</t>
  </si>
  <si>
    <t>323710</t>
  </si>
  <si>
    <t>Kasututamisõiguse tasu</t>
  </si>
  <si>
    <t>35</t>
  </si>
  <si>
    <t>Toetused</t>
  </si>
  <si>
    <t>3500</t>
  </si>
  <si>
    <t>Sihtotstarbelised toetused jooksvateks kuludeks</t>
  </si>
  <si>
    <t>350000</t>
  </si>
  <si>
    <t>riigilt ja riigiasutustelt</t>
  </si>
  <si>
    <t>35000002</t>
  </si>
  <si>
    <t>Haridus- ja Teadusministeerium</t>
  </si>
  <si>
    <t>+74 262.-2016 IV kvartali erakoolile tasutud tegevuskulude hüvitis, laekus 2017.aastal; +10 000.- RG ja RRG inventari soetus "katuseraha" + 500.- HTM EU rändekavaga saabunud alaealiste lõimumistegevuse toetus – Kunda LA</t>
  </si>
  <si>
    <t>35000006</t>
  </si>
  <si>
    <t>Kultuuriministeerium</t>
  </si>
  <si>
    <t>9011.- RE vahendite täpsustus Teavikute soetus + 500.- Kooliteatrite riigifestivali maakondlik voor (Rahvakultuuri Keskus) + 102,27 KultKeskuse projekti toetuse EV jäägi tagasikanne Kult.Min; +1402.-LVKRK projekt</t>
  </si>
  <si>
    <t>35000007</t>
  </si>
  <si>
    <t>Majandus-ja Kommunikatsiooniministeerium</t>
  </si>
  <si>
    <t>Maanteeamet – Põhikool jalgratturi koolitus</t>
  </si>
  <si>
    <t>35000009</t>
  </si>
  <si>
    <t>Rahandusministeerium</t>
  </si>
  <si>
    <t xml:space="preserve"> + 5000.-Lennuki mänguväljak; 5000.-BC Tarvase inventar; +10 000Ausammas Rah.Min katuseraha</t>
  </si>
  <si>
    <t>35000010</t>
  </si>
  <si>
    <t>Siseministeerium</t>
  </si>
  <si>
    <t>35000011</t>
  </si>
  <si>
    <t>Sotsiaalministeerium</t>
  </si>
  <si>
    <t>pagulaste raha</t>
  </si>
  <si>
    <t>35000014</t>
  </si>
  <si>
    <t>Maavalitsused</t>
  </si>
  <si>
    <t>Ujumise algõpe L-V Maavalitsuselt</t>
  </si>
  <si>
    <t>350001</t>
  </si>
  <si>
    <t>kohaliku omavalitsuse üksustelt ja omavalitsusasut</t>
  </si>
  <si>
    <t>350002</t>
  </si>
  <si>
    <t>valitsussektorisse kuuluvatelt avalik-õiguslikelt</t>
  </si>
  <si>
    <t>350003</t>
  </si>
  <si>
    <t>valitsussektorisse kuuluvatelt sihtasutustelt</t>
  </si>
  <si>
    <t>+8330.- Muusikakooli KULKA lepingud EV tegevus EA-sse + 1000.- Innove SA RG eesti keele õppeks+ 3000.- Innove SA - Kungla LA meeskonnatöö koolituseks + 79351.- RTG Innove projekt Teisel ringil targaks + 100000.- Innove SA projekt RLA uued rühmad + 50000.- Hariduse Infotehnoloogia SA; +200+485 LVKRK projektid; +51546.- treeneritoetus Spordikoolituse- ja -teabe SA; 20445,20 projekt TUGILA MTÜ Eesti Avatud Noortekeskusete Ühendus; +6440 ENTK Spordikooli laagrioetus; +126 Eesti Lauatenniseliit; +500 KULKA Spordikool; +2000.-Varaait Spordikool</t>
  </si>
  <si>
    <t>35008</t>
  </si>
  <si>
    <t>toetused muudelt residentidelt</t>
  </si>
  <si>
    <t>3502</t>
  </si>
  <si>
    <t>Sihtotstarbelised toetused põhivara soetamiseks</t>
  </si>
  <si>
    <t>350200</t>
  </si>
  <si>
    <t>35020006</t>
  </si>
  <si>
    <t>35020007</t>
  </si>
  <si>
    <t>Majandus-ja kommunikatsiooniministeerium</t>
  </si>
  <si>
    <t>35020010</t>
  </si>
  <si>
    <t>350203</t>
  </si>
  <si>
    <t>3520</t>
  </si>
  <si>
    <t>Valitsussektorisisesed toetused</t>
  </si>
  <si>
    <t>35200171</t>
  </si>
  <si>
    <t>KOV Tasandusfond uus nimetus alates 01.01.2015</t>
  </si>
  <si>
    <t>3520172</t>
  </si>
  <si>
    <t>KOV Toetusfond uus nimetus alates 01.01.2015</t>
  </si>
  <si>
    <t>35201720</t>
  </si>
  <si>
    <t>Toetusfond haridus</t>
  </si>
  <si>
    <t>352017201</t>
  </si>
  <si>
    <t>Põhikooli tööjõukulude toetus</t>
  </si>
  <si>
    <t>352017202</t>
  </si>
  <si>
    <t>Gümnaasiumi tööjõukulude toetus</t>
  </si>
  <si>
    <t>352017203</t>
  </si>
  <si>
    <t>Juhtimiskulude toetus</t>
  </si>
  <si>
    <t>352017204</t>
  </si>
  <si>
    <t>Täiendkoolituse toetus</t>
  </si>
  <si>
    <t>352017205</t>
  </si>
  <si>
    <t>Õppevahendite toetus</t>
  </si>
  <si>
    <t>352017206</t>
  </si>
  <si>
    <t>Koolilõuna toetus</t>
  </si>
  <si>
    <t>352017207</t>
  </si>
  <si>
    <t>Investeeringu toetus</t>
  </si>
  <si>
    <t>35201721</t>
  </si>
  <si>
    <t>Toimetulekutoetus Toetusfond</t>
  </si>
  <si>
    <t>35201722</t>
  </si>
  <si>
    <t>Sotsiaaltoetuste ja -teenuste osutamise toetus</t>
  </si>
  <si>
    <t>352017221</t>
  </si>
  <si>
    <t>Toimetulekutoetuse maksmise korraldamise hüvitis</t>
  </si>
  <si>
    <t>352017222</t>
  </si>
  <si>
    <t>Sotsiaalteenuste ja täiend. maksmise korrld toetus</t>
  </si>
  <si>
    <t>352017223</t>
  </si>
  <si>
    <t>Puuetega laste hooldajatoetuse jaotus</t>
  </si>
  <si>
    <t>352017224</t>
  </si>
  <si>
    <t>Vajaduspõhise peretoetuse maksmise korral. hüvitis</t>
  </si>
  <si>
    <t>35201723</t>
  </si>
  <si>
    <t>Vajaduspõhine peretoetus</t>
  </si>
  <si>
    <t>35201724</t>
  </si>
  <si>
    <t>Toetusfond majandus Teederaha</t>
  </si>
  <si>
    <t>Toetusfond Jäätmehoolduse arendamine</t>
  </si>
  <si>
    <t>Toetusfond Raske ja sügava puudega laste hoiu teenus</t>
  </si>
  <si>
    <t>3528</t>
  </si>
  <si>
    <t>38</t>
  </si>
  <si>
    <t>Muud tulud</t>
  </si>
  <si>
    <t>3810</t>
  </si>
  <si>
    <t>Maa müük</t>
  </si>
  <si>
    <t>3811</t>
  </si>
  <si>
    <t>Rajatiste ja hoonete müük</t>
  </si>
  <si>
    <t>Tallinna tn 5</t>
  </si>
  <si>
    <t>3825</t>
  </si>
  <si>
    <t>Rendi- ja üüritulud mittetoodetud põhivaradelt</t>
  </si>
  <si>
    <t>382540</t>
  </si>
  <si>
    <t>vee erikasutus</t>
  </si>
  <si>
    <t>3880</t>
  </si>
  <si>
    <t>3882</t>
  </si>
  <si>
    <t>Saastetasud</t>
  </si>
  <si>
    <t>3888</t>
  </si>
  <si>
    <t>Eespool nimetamata muud tulud</t>
  </si>
  <si>
    <t>655</t>
  </si>
  <si>
    <t>Tulu hoiustelt</t>
  </si>
  <si>
    <t>6550</t>
  </si>
  <si>
    <t>Intressi- ja viivisetulud hoiustelt</t>
  </si>
  <si>
    <t>T U L U D   K O K K U</t>
  </si>
  <si>
    <t>2017 lisaeelarve</t>
  </si>
  <si>
    <t>Eelarve seletuskirja lisasse</t>
  </si>
  <si>
    <t>võetud laen</t>
  </si>
  <si>
    <t>intress+ 6 kuu EUR</t>
  </si>
  <si>
    <t>Laenu lõpptähtaeg</t>
  </si>
  <si>
    <t>jääk 01.01.2017</t>
  </si>
  <si>
    <t>laenu põhiosa 2017</t>
  </si>
  <si>
    <t>laenu intressid 2017</t>
  </si>
  <si>
    <t>SEB 2006 041529 Gümn-kunstmuru</t>
  </si>
  <si>
    <t>SEB 2008 022358 Turuplats 2</t>
  </si>
  <si>
    <t>SEB 2010 032827 Reaalgümnaasium, Kungla</t>
  </si>
  <si>
    <t>Danske Bank 2011 Spordikeskus</t>
  </si>
  <si>
    <t>Swedbank 2012 laen CO2-Haridus+Sotsiaal</t>
  </si>
  <si>
    <t>Danske Bank 2013 laen Algkool+komp.kesk</t>
  </si>
  <si>
    <t>Danske Bank 2015 laen- Tark Maja ja Rohuaia ja Teed</t>
  </si>
  <si>
    <t>Danske Bank 2016 laen- KIK, Kino, Kirik, Kunstmuru</t>
  </si>
  <si>
    <t>kokku</t>
  </si>
  <si>
    <t>Heakorra inventar ja keskkonna parendamine</t>
  </si>
  <si>
    <t>lisa 2</t>
  </si>
  <si>
    <t>Kulud kokku</t>
  </si>
  <si>
    <t>2017 Lõplik eelarve</t>
  </si>
  <si>
    <t>2017 Eelarve</t>
  </si>
  <si>
    <t>Heakord ja mänguväljakud</t>
  </si>
  <si>
    <t xml:space="preserve">Psüh. erivajadustega Päevakeskus </t>
  </si>
  <si>
    <t>Eakate päevakeskus</t>
  </si>
  <si>
    <t xml:space="preserve">Koduhooldus,  -teenus </t>
  </si>
  <si>
    <t>Laste Päevakeskus</t>
  </si>
  <si>
    <t>Perede Tugiteenus end. Lapsehoiuteenus</t>
  </si>
  <si>
    <t>Sotsiaalmaja</t>
  </si>
  <si>
    <t>Kodutute varjupaik</t>
  </si>
  <si>
    <t xml:space="preserve">Supiköök </t>
  </si>
  <si>
    <t>Sotsiaalkeskus SAK</t>
  </si>
  <si>
    <t>hange oli 96000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</si>
</sst>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name val="Arial"/>
      <family val="2"/>
      <charset val="1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9"/>
      <name val="Arial"/>
      <family val="2"/>
      <charset val="1"/>
    </font>
    <font>
      <b/>
      <sz val="9"/>
      <name val="Arial"/>
      <family val="2"/>
      <charset val="186"/>
    </font>
    <font>
      <sz val="9"/>
      <color rgb="FFFF0000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86"/>
    </font>
    <font>
      <b/>
      <sz val="8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2DCDB"/>
        <bgColor rgb="FFFCD5B5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969696"/>
      </patternFill>
    </fill>
    <fill>
      <patternFill patternType="solid">
        <fgColor rgb="FF8EB4E3"/>
        <bgColor rgb="FFB9CDE5"/>
      </patternFill>
    </fill>
    <fill>
      <patternFill patternType="solid">
        <fgColor rgb="FFC6D9F1"/>
        <bgColor rgb="FFB7DEE8"/>
      </patternFill>
    </fill>
    <fill>
      <patternFill patternType="solid">
        <fgColor rgb="FFFCD5B5"/>
        <bgColor rgb="FFF2DCDB"/>
      </patternFill>
    </fill>
    <fill>
      <patternFill patternType="solid">
        <fgColor rgb="FFD7E4BD"/>
        <bgColor rgb="FFD6E3BC"/>
      </patternFill>
    </fill>
    <fill>
      <patternFill patternType="solid">
        <fgColor rgb="FFCCC1DA"/>
        <bgColor rgb="FFB9CDE5"/>
      </patternFill>
    </fill>
    <fill>
      <patternFill patternType="solid">
        <fgColor theme="5" tint="0.79998168889431442"/>
        <bgColor rgb="FFB7DEE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rgb="FFB7DEE8"/>
        <bgColor rgb="FFC6D9F1"/>
      </patternFill>
    </fill>
    <fill>
      <patternFill patternType="solid">
        <fgColor rgb="FFFAC090"/>
        <bgColor rgb="FFFCD5B5"/>
      </patternFill>
    </fill>
    <fill>
      <patternFill patternType="solid">
        <fgColor rgb="FFDCE6F2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1" fillId="0" borderId="0" xfId="1"/>
    <xf numFmtId="4" fontId="2" fillId="0" borderId="0" xfId="1" applyNumberFormat="1" applyFont="1"/>
    <xf numFmtId="0" fontId="2" fillId="0" borderId="5" xfId="1" applyFont="1" applyBorder="1" applyAlignment="1">
      <alignment horizontal="left"/>
    </xf>
    <xf numFmtId="0" fontId="2" fillId="0" borderId="6" xfId="3" applyFont="1" applyFill="1" applyBorder="1" applyAlignment="1" applyProtection="1">
      <alignment horizontal="left"/>
      <protection locked="0"/>
    </xf>
    <xf numFmtId="0" fontId="2" fillId="0" borderId="6" xfId="3" applyFont="1" applyFill="1" applyBorder="1" applyProtection="1">
      <protection locked="0"/>
    </xf>
    <xf numFmtId="0" fontId="4" fillId="0" borderId="3" xfId="1" applyFont="1" applyFill="1" applyBorder="1" applyAlignment="1">
      <alignment horizontal="left"/>
    </xf>
    <xf numFmtId="0" fontId="4" fillId="0" borderId="6" xfId="3" applyFont="1" applyFill="1" applyBorder="1"/>
    <xf numFmtId="0" fontId="2" fillId="0" borderId="1" xfId="3" applyFont="1" applyFill="1" applyBorder="1" applyAlignment="1">
      <alignment horizontal="lef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1" applyFont="1" applyFill="1" applyBorder="1"/>
    <xf numFmtId="0" fontId="2" fillId="0" borderId="10" xfId="1" applyFont="1" applyBorder="1" applyAlignment="1">
      <alignment horizontal="left"/>
    </xf>
    <xf numFmtId="0" fontId="2" fillId="0" borderId="3" xfId="3" applyFont="1" applyFill="1" applyBorder="1" applyAlignment="1">
      <alignment horizontal="left"/>
    </xf>
    <xf numFmtId="0" fontId="2" fillId="0" borderId="3" xfId="3" applyFont="1" applyFill="1" applyBorder="1"/>
    <xf numFmtId="0" fontId="4" fillId="0" borderId="6" xfId="3" applyFont="1" applyFill="1" applyBorder="1" applyAlignment="1">
      <alignment horizontal="left"/>
    </xf>
    <xf numFmtId="0" fontId="2" fillId="0" borderId="3" xfId="1" applyFont="1" applyFill="1" applyBorder="1"/>
    <xf numFmtId="0" fontId="3" fillId="0" borderId="0" xfId="3" applyFont="1" applyFill="1" applyBorder="1"/>
    <xf numFmtId="0" fontId="2" fillId="0" borderId="5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0" fontId="4" fillId="0" borderId="3" xfId="3" applyFont="1" applyFill="1" applyBorder="1"/>
    <xf numFmtId="0" fontId="2" fillId="0" borderId="1" xfId="3" applyFont="1" applyFill="1" applyBorder="1"/>
    <xf numFmtId="0" fontId="2" fillId="0" borderId="0" xfId="3" applyFont="1" applyFill="1" applyBorder="1" applyAlignment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/>
    <xf numFmtId="0" fontId="2" fillId="0" borderId="0" xfId="1" applyFont="1" applyFill="1" applyBorder="1" applyAlignment="1">
      <alignment horizontal="left"/>
    </xf>
    <xf numFmtId="49" fontId="2" fillId="0" borderId="1" xfId="3" applyNumberFormat="1" applyFont="1" applyFill="1" applyBorder="1" applyAlignment="1">
      <alignment horizontal="left"/>
    </xf>
    <xf numFmtId="49" fontId="2" fillId="0" borderId="3" xfId="3" applyNumberFormat="1" applyFont="1" applyFill="1" applyBorder="1" applyAlignment="1">
      <alignment horizontal="left"/>
    </xf>
    <xf numFmtId="0" fontId="2" fillId="0" borderId="0" xfId="1" applyFont="1"/>
    <xf numFmtId="0" fontId="2" fillId="0" borderId="14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/>
    </xf>
    <xf numFmtId="0" fontId="2" fillId="0" borderId="16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/>
    </xf>
    <xf numFmtId="49" fontId="2" fillId="0" borderId="14" xfId="3" applyNumberFormat="1" applyFont="1" applyFill="1" applyBorder="1" applyAlignment="1">
      <alignment horizontal="left"/>
    </xf>
    <xf numFmtId="0" fontId="2" fillId="0" borderId="14" xfId="1" applyFont="1" applyFill="1" applyBorder="1" applyAlignment="1">
      <alignment horizontal="left"/>
    </xf>
    <xf numFmtId="49" fontId="2" fillId="0" borderId="16" xfId="3" applyNumberFormat="1" applyFont="1" applyFill="1" applyBorder="1" applyAlignment="1">
      <alignment horizontal="left"/>
    </xf>
    <xf numFmtId="49" fontId="2" fillId="0" borderId="10" xfId="3" applyNumberFormat="1" applyFont="1" applyFill="1" applyBorder="1" applyAlignment="1">
      <alignment horizontal="left"/>
    </xf>
    <xf numFmtId="0" fontId="2" fillId="0" borderId="6" xfId="3" applyFont="1" applyFill="1" applyBorder="1"/>
    <xf numFmtId="0" fontId="4" fillId="0" borderId="6" xfId="1" applyFont="1" applyFill="1" applyBorder="1" applyAlignment="1">
      <alignment horizontal="left"/>
    </xf>
    <xf numFmtId="0" fontId="2" fillId="0" borderId="6" xfId="1" applyFont="1" applyFill="1" applyBorder="1"/>
    <xf numFmtId="0" fontId="4" fillId="0" borderId="1" xfId="3" applyFont="1" applyFill="1" applyBorder="1"/>
    <xf numFmtId="0" fontId="1" fillId="0" borderId="0" xfId="1"/>
    <xf numFmtId="4" fontId="3" fillId="0" borderId="0" xfId="3" applyNumberFormat="1" applyFont="1" applyBorder="1" applyAlignment="1" applyProtection="1">
      <alignment horizontal="right"/>
      <protection locked="0"/>
    </xf>
    <xf numFmtId="3" fontId="12" fillId="0" borderId="0" xfId="1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4" fontId="5" fillId="0" borderId="15" xfId="3" applyNumberFormat="1" applyFont="1" applyFill="1" applyBorder="1" applyAlignment="1" applyProtection="1"/>
    <xf numFmtId="4" fontId="5" fillId="0" borderId="11" xfId="3" applyNumberFormat="1" applyFont="1" applyFill="1" applyBorder="1" applyAlignment="1" applyProtection="1"/>
    <xf numFmtId="4" fontId="3" fillId="0" borderId="15" xfId="3" applyNumberFormat="1" applyFont="1" applyFill="1" applyBorder="1" applyAlignment="1" applyProtection="1">
      <alignment wrapText="1"/>
      <protection locked="0"/>
    </xf>
    <xf numFmtId="4" fontId="2" fillId="0" borderId="0" xfId="1" applyNumberFormat="1" applyFont="1"/>
    <xf numFmtId="0" fontId="2" fillId="0" borderId="5" xfId="1" applyFont="1" applyBorder="1" applyAlignment="1">
      <alignment horizontal="left"/>
    </xf>
    <xf numFmtId="4" fontId="3" fillId="0" borderId="7" xfId="3" applyNumberFormat="1" applyFont="1" applyFill="1" applyBorder="1" applyAlignment="1" applyProtection="1">
      <alignment wrapText="1"/>
      <protection locked="0"/>
    </xf>
    <xf numFmtId="4" fontId="5" fillId="0" borderId="2" xfId="3" applyNumberFormat="1" applyFont="1" applyFill="1" applyBorder="1" applyAlignment="1" applyProtection="1"/>
    <xf numFmtId="0" fontId="4" fillId="0" borderId="6" xfId="3" applyFont="1" applyFill="1" applyBorder="1"/>
    <xf numFmtId="4" fontId="5" fillId="0" borderId="7" xfId="3" applyNumberFormat="1" applyFont="1" applyFill="1" applyBorder="1" applyAlignment="1" applyProtection="1"/>
    <xf numFmtId="4" fontId="5" fillId="0" borderId="8" xfId="3" applyNumberFormat="1" applyFont="1" applyFill="1" applyBorder="1" applyAlignment="1" applyProtection="1"/>
    <xf numFmtId="4" fontId="6" fillId="0" borderId="9" xfId="3" applyNumberFormat="1" applyFont="1" applyFill="1" applyBorder="1" applyAlignment="1" applyProtection="1">
      <protection locked="0"/>
    </xf>
    <xf numFmtId="4" fontId="6" fillId="0" borderId="4" xfId="3" applyNumberFormat="1" applyFont="1" applyFill="1" applyBorder="1" applyAlignment="1" applyProtection="1">
      <protection locked="0"/>
    </xf>
    <xf numFmtId="0" fontId="4" fillId="0" borderId="6" xfId="3" applyFont="1" applyFill="1" applyBorder="1" applyAlignment="1">
      <alignment horizontal="left"/>
    </xf>
    <xf numFmtId="4" fontId="6" fillId="0" borderId="11" xfId="3" applyNumberFormat="1" applyFont="1" applyFill="1" applyBorder="1" applyAlignment="1" applyProtection="1"/>
    <xf numFmtId="4" fontId="6" fillId="0" borderId="12" xfId="3" applyNumberFormat="1" applyFont="1" applyFill="1" applyBorder="1" applyAlignment="1" applyProtection="1">
      <protection locked="0"/>
    </xf>
    <xf numFmtId="4" fontId="6" fillId="0" borderId="13" xfId="3" applyNumberFormat="1" applyFont="1" applyFill="1" applyBorder="1" applyAlignment="1" applyProtection="1"/>
    <xf numFmtId="4" fontId="6" fillId="0" borderId="9" xfId="3" applyNumberFormat="1" applyFont="1" applyFill="1" applyBorder="1" applyProtection="1">
      <protection locked="0"/>
    </xf>
    <xf numFmtId="4" fontId="5" fillId="0" borderId="4" xfId="3" applyNumberFormat="1" applyFont="1" applyFill="1" applyBorder="1" applyAlignment="1" applyProtection="1"/>
    <xf numFmtId="4" fontId="6" fillId="0" borderId="2" xfId="3" applyNumberFormat="1" applyFont="1" applyFill="1" applyBorder="1" applyAlignment="1" applyProtection="1">
      <protection locked="0"/>
    </xf>
    <xf numFmtId="4" fontId="6" fillId="0" borderId="9" xfId="3" applyNumberFormat="1" applyFont="1" applyFill="1" applyBorder="1" applyAlignment="1" applyProtection="1"/>
    <xf numFmtId="4" fontId="6" fillId="0" borderId="2" xfId="3" applyNumberFormat="1" applyFont="1" applyFill="1" applyBorder="1" applyAlignment="1" applyProtection="1"/>
    <xf numFmtId="4" fontId="6" fillId="0" borderId="4" xfId="3" applyNumberFormat="1" applyFont="1" applyFill="1" applyBorder="1" applyAlignment="1" applyProtection="1"/>
    <xf numFmtId="4" fontId="7" fillId="0" borderId="9" xfId="1" applyNumberFormat="1" applyFont="1" applyBorder="1"/>
    <xf numFmtId="4" fontId="7" fillId="0" borderId="4" xfId="1" applyNumberFormat="1" applyFont="1" applyBorder="1"/>
    <xf numFmtId="4" fontId="6" fillId="0" borderId="12" xfId="3" applyNumberFormat="1" applyFont="1" applyFill="1" applyBorder="1" applyAlignment="1" applyProtection="1"/>
    <xf numFmtId="4" fontId="11" fillId="0" borderId="13" xfId="1" applyNumberFormat="1" applyFont="1" applyFill="1" applyBorder="1"/>
    <xf numFmtId="4" fontId="11" fillId="0" borderId="15" xfId="1" applyNumberFormat="1" applyFont="1" applyBorder="1"/>
    <xf numFmtId="4" fontId="11" fillId="0" borderId="7" xfId="1" applyNumberFormat="1" applyFont="1" applyFill="1" applyBorder="1"/>
    <xf numFmtId="4" fontId="11" fillId="0" borderId="7" xfId="1" applyNumberFormat="1" applyFont="1" applyBorder="1"/>
    <xf numFmtId="4" fontId="11" fillId="0" borderId="4" xfId="1" applyNumberFormat="1" applyFont="1" applyFill="1" applyBorder="1"/>
    <xf numFmtId="4" fontId="6" fillId="0" borderId="12" xfId="3" applyNumberFormat="1" applyFont="1" applyFill="1" applyBorder="1" applyProtection="1">
      <protection locked="0"/>
    </xf>
    <xf numFmtId="4" fontId="5" fillId="0" borderId="13" xfId="3" applyNumberFormat="1" applyFont="1" applyFill="1" applyBorder="1" applyAlignment="1" applyProtection="1"/>
    <xf numFmtId="4" fontId="6" fillId="0" borderId="11" xfId="3" applyNumberFormat="1" applyFont="1" applyFill="1" applyBorder="1" applyAlignment="1" applyProtection="1">
      <protection locked="0"/>
    </xf>
    <xf numFmtId="4" fontId="7" fillId="0" borderId="12" xfId="1" applyNumberFormat="1" applyFont="1" applyBorder="1"/>
    <xf numFmtId="4" fontId="6" fillId="0" borderId="13" xfId="3" applyNumberFormat="1" applyFont="1" applyFill="1" applyBorder="1" applyAlignment="1" applyProtection="1">
      <protection locked="0"/>
    </xf>
    <xf numFmtId="4" fontId="11" fillId="0" borderId="15" xfId="1" applyNumberFormat="1" applyFont="1" applyFill="1" applyBorder="1"/>
    <xf numFmtId="4" fontId="7" fillId="0" borderId="13" xfId="1" applyNumberFormat="1" applyFont="1" applyBorder="1"/>
    <xf numFmtId="0" fontId="1" fillId="0" borderId="9" xfId="1" applyBorder="1"/>
    <xf numFmtId="0" fontId="7" fillId="0" borderId="6" xfId="3" applyFont="1" applyFill="1" applyBorder="1"/>
    <xf numFmtId="0" fontId="17" fillId="0" borderId="6" xfId="3" applyFont="1" applyFill="1" applyBorder="1" applyAlignment="1">
      <alignment horizontal="left"/>
    </xf>
    <xf numFmtId="4" fontId="18" fillId="0" borderId="0" xfId="3" applyNumberFormat="1" applyFont="1" applyBorder="1" applyAlignment="1" applyProtection="1">
      <alignment horizontal="left"/>
      <protection locked="0"/>
    </xf>
    <xf numFmtId="0" fontId="19" fillId="0" borderId="0" xfId="0" applyFont="1"/>
    <xf numFmtId="3" fontId="20" fillId="0" borderId="0" xfId="0" applyNumberFormat="1" applyFont="1"/>
    <xf numFmtId="3" fontId="19" fillId="0" borderId="0" xfId="0" applyNumberFormat="1" applyFont="1" applyAlignment="1">
      <alignment wrapText="1"/>
    </xf>
    <xf numFmtId="3" fontId="21" fillId="0" borderId="0" xfId="0" applyNumberFormat="1" applyFont="1"/>
    <xf numFmtId="3" fontId="22" fillId="2" borderId="0" xfId="0" applyNumberFormat="1" applyFont="1" applyFill="1"/>
    <xf numFmtId="0" fontId="19" fillId="0" borderId="0" xfId="0" applyFont="1" applyAlignment="1">
      <alignment wrapText="1"/>
    </xf>
    <xf numFmtId="49" fontId="20" fillId="0" borderId="17" xfId="0" applyNumberFormat="1" applyFont="1" applyBorder="1"/>
    <xf numFmtId="0" fontId="23" fillId="0" borderId="17" xfId="0" applyFont="1" applyBorder="1"/>
    <xf numFmtId="3" fontId="20" fillId="3" borderId="17" xfId="0" applyNumberFormat="1" applyFont="1" applyFill="1" applyBorder="1" applyAlignment="1">
      <alignment wrapText="1"/>
    </xf>
    <xf numFmtId="3" fontId="24" fillId="3" borderId="17" xfId="0" applyNumberFormat="1" applyFont="1" applyFill="1" applyBorder="1" applyAlignment="1">
      <alignment wrapText="1"/>
    </xf>
    <xf numFmtId="49" fontId="20" fillId="4" borderId="0" xfId="0" applyNumberFormat="1" applyFont="1" applyFill="1"/>
    <xf numFmtId="0" fontId="23" fillId="4" borderId="0" xfId="0" applyFont="1" applyFill="1"/>
    <xf numFmtId="3" fontId="20" fillId="4" borderId="0" xfId="0" applyNumberFormat="1" applyFont="1" applyFill="1"/>
    <xf numFmtId="49" fontId="20" fillId="5" borderId="0" xfId="0" applyNumberFormat="1" applyFont="1" applyFill="1"/>
    <xf numFmtId="0" fontId="23" fillId="5" borderId="0" xfId="0" applyFont="1" applyFill="1"/>
    <xf numFmtId="3" fontId="20" fillId="5" borderId="0" xfId="0" applyNumberFormat="1" applyFont="1" applyFill="1"/>
    <xf numFmtId="49" fontId="0" fillId="6" borderId="0" xfId="0" applyNumberFormat="1" applyFont="1" applyFill="1"/>
    <xf numFmtId="0" fontId="19" fillId="6" borderId="0" xfId="0" applyFont="1" applyFill="1"/>
    <xf numFmtId="3" fontId="1" fillId="6" borderId="0" xfId="0" applyNumberFormat="1" applyFont="1" applyFill="1"/>
    <xf numFmtId="49" fontId="0" fillId="7" borderId="0" xfId="0" applyNumberFormat="1" applyFont="1" applyFill="1"/>
    <xf numFmtId="0" fontId="19" fillId="7" borderId="0" xfId="0" applyFont="1" applyFill="1"/>
    <xf numFmtId="3" fontId="1" fillId="7" borderId="0" xfId="0" applyNumberFormat="1" applyFont="1" applyFill="1"/>
    <xf numFmtId="49" fontId="0" fillId="0" borderId="0" xfId="0" applyNumberFormat="1" applyFont="1"/>
    <xf numFmtId="3" fontId="1" fillId="0" borderId="0" xfId="0" applyNumberFormat="1" applyFont="1"/>
    <xf numFmtId="49" fontId="0" fillId="8" borderId="0" xfId="0" applyNumberFormat="1" applyFont="1" applyFill="1"/>
    <xf numFmtId="0" fontId="19" fillId="8" borderId="0" xfId="0" applyFont="1" applyFill="1"/>
    <xf numFmtId="3" fontId="1" fillId="8" borderId="0" xfId="0" applyNumberFormat="1" applyFont="1" applyFill="1"/>
    <xf numFmtId="49" fontId="0" fillId="9" borderId="0" xfId="0" applyNumberFormat="1" applyFont="1" applyFill="1"/>
    <xf numFmtId="0" fontId="19" fillId="9" borderId="0" xfId="0" applyFont="1" applyFill="1"/>
    <xf numFmtId="3" fontId="1" fillId="9" borderId="0" xfId="0" applyNumberFormat="1" applyFont="1" applyFill="1"/>
    <xf numFmtId="0" fontId="19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5" fillId="0" borderId="0" xfId="0" applyFont="1" applyBorder="1" applyAlignment="1">
      <alignment vertical="center" wrapText="1"/>
    </xf>
    <xf numFmtId="49" fontId="1" fillId="9" borderId="0" xfId="0" applyNumberFormat="1" applyFont="1" applyFill="1"/>
    <xf numFmtId="49" fontId="20" fillId="10" borderId="0" xfId="0" applyNumberFormat="1" applyFont="1" applyFill="1"/>
    <xf numFmtId="0" fontId="23" fillId="10" borderId="0" xfId="0" applyFont="1" applyFill="1"/>
    <xf numFmtId="3" fontId="20" fillId="10" borderId="0" xfId="0" applyNumberFormat="1" applyFont="1" applyFill="1"/>
    <xf numFmtId="3" fontId="26" fillId="5" borderId="0" xfId="0" applyNumberFormat="1" applyFont="1" applyFill="1"/>
    <xf numFmtId="49" fontId="1" fillId="6" borderId="0" xfId="0" applyNumberFormat="1" applyFont="1" applyFill="1"/>
    <xf numFmtId="49" fontId="1" fillId="7" borderId="0" xfId="0" applyNumberFormat="1" applyFont="1" applyFill="1"/>
    <xf numFmtId="49" fontId="1" fillId="0" borderId="0" xfId="0" applyNumberFormat="1" applyFont="1"/>
    <xf numFmtId="0" fontId="16" fillId="0" borderId="0" xfId="0" applyFont="1" applyBorder="1" applyAlignment="1">
      <alignment vertical="center" wrapText="1"/>
    </xf>
    <xf numFmtId="3" fontId="1" fillId="11" borderId="0" xfId="0" applyNumberFormat="1" applyFont="1" applyFill="1"/>
    <xf numFmtId="49" fontId="20" fillId="5" borderId="0" xfId="0" applyNumberFormat="1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49" fontId="0" fillId="7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3" fontId="27" fillId="0" borderId="0" xfId="0" applyNumberFormat="1" applyFont="1"/>
    <xf numFmtId="49" fontId="0" fillId="12" borderId="0" xfId="0" applyNumberFormat="1" applyFont="1" applyFill="1"/>
    <xf numFmtId="0" fontId="19" fillId="12" borderId="0" xfId="0" applyFont="1" applyFill="1"/>
    <xf numFmtId="3" fontId="1" fillId="12" borderId="0" xfId="0" applyNumberFormat="1" applyFont="1" applyFill="1"/>
    <xf numFmtId="3" fontId="1" fillId="13" borderId="0" xfId="0" applyNumberFormat="1" applyFont="1" applyFill="1"/>
    <xf numFmtId="0" fontId="19" fillId="0" borderId="0" xfId="0" applyFont="1" applyFill="1" applyAlignment="1">
      <alignment wrapText="1"/>
    </xf>
    <xf numFmtId="0" fontId="0" fillId="14" borderId="0" xfId="0" applyFill="1" applyAlignment="1">
      <alignment horizontal="left"/>
    </xf>
    <xf numFmtId="0" fontId="19" fillId="14" borderId="0" xfId="0" applyFont="1" applyFill="1" applyAlignment="1">
      <alignment horizontal="left"/>
    </xf>
    <xf numFmtId="0" fontId="19" fillId="14" borderId="0" xfId="0" applyFont="1" applyFill="1"/>
    <xf numFmtId="3" fontId="1" fillId="14" borderId="0" xfId="0" applyNumberFormat="1" applyFont="1" applyFill="1"/>
    <xf numFmtId="3" fontId="0" fillId="14" borderId="0" xfId="0" applyNumberFormat="1" applyFill="1"/>
    <xf numFmtId="3" fontId="21" fillId="0" borderId="0" xfId="0" applyNumberFormat="1" applyFont="1" applyFill="1" applyAlignment="1">
      <alignment wrapText="1"/>
    </xf>
    <xf numFmtId="0" fontId="0" fillId="8" borderId="0" xfId="0" applyFont="1" applyFill="1"/>
    <xf numFmtId="3" fontId="0" fillId="8" borderId="0" xfId="0" applyNumberFormat="1" applyFill="1"/>
    <xf numFmtId="0" fontId="0" fillId="9" borderId="0" xfId="0" applyFont="1" applyFill="1"/>
    <xf numFmtId="3" fontId="1" fillId="0" borderId="0" xfId="0" applyNumberFormat="1" applyFont="1" applyFill="1"/>
    <xf numFmtId="3" fontId="26" fillId="9" borderId="0" xfId="0" applyNumberFormat="1" applyFont="1" applyFill="1"/>
    <xf numFmtId="0" fontId="28" fillId="0" borderId="0" xfId="0" applyFont="1" applyAlignment="1">
      <alignment wrapText="1"/>
    </xf>
    <xf numFmtId="3" fontId="0" fillId="6" borderId="0" xfId="0" applyNumberFormat="1" applyFill="1"/>
    <xf numFmtId="3" fontId="0" fillId="7" borderId="0" xfId="0" applyNumberFormat="1" applyFill="1"/>
    <xf numFmtId="3" fontId="0" fillId="0" borderId="0" xfId="0" applyNumberFormat="1"/>
    <xf numFmtId="0" fontId="19" fillId="0" borderId="0" xfId="0" quotePrefix="1" applyFont="1" applyAlignment="1">
      <alignment wrapText="1"/>
    </xf>
    <xf numFmtId="49" fontId="20" fillId="15" borderId="0" xfId="0" applyNumberFormat="1" applyFont="1" applyFill="1"/>
    <xf numFmtId="0" fontId="23" fillId="15" borderId="0" xfId="0" applyFont="1" applyFill="1"/>
    <xf numFmtId="3" fontId="20" fillId="15" borderId="0" xfId="0" applyNumberFormat="1" applyFont="1" applyFill="1"/>
    <xf numFmtId="10" fontId="19" fillId="0" borderId="0" xfId="5" applyNumberFormat="1" applyFont="1" applyBorder="1" applyAlignment="1" applyProtection="1">
      <alignment wrapText="1"/>
    </xf>
    <xf numFmtId="0" fontId="19" fillId="0" borderId="0" xfId="0" applyFont="1" applyAlignment="1">
      <alignment horizontal="left"/>
    </xf>
    <xf numFmtId="0" fontId="19" fillId="0" borderId="0" xfId="0" quotePrefix="1" applyFont="1" applyFill="1" applyAlignment="1">
      <alignment wrapText="1"/>
    </xf>
    <xf numFmtId="3" fontId="19" fillId="0" borderId="0" xfId="0" quotePrefix="1" applyNumberFormat="1" applyFont="1" applyAlignment="1">
      <alignment wrapText="1"/>
    </xf>
    <xf numFmtId="3" fontId="23" fillId="5" borderId="0" xfId="0" applyNumberFormat="1" applyFont="1" applyFill="1"/>
    <xf numFmtId="3" fontId="30" fillId="5" borderId="0" xfId="0" applyNumberFormat="1" applyFont="1" applyFill="1"/>
    <xf numFmtId="49" fontId="1" fillId="14" borderId="0" xfId="0" applyNumberFormat="1" applyFont="1" applyFill="1"/>
    <xf numFmtId="0" fontId="19" fillId="0" borderId="0" xfId="0" applyFont="1" applyFill="1" applyAlignment="1">
      <alignment vertical="center" wrapText="1"/>
    </xf>
    <xf numFmtId="0" fontId="19" fillId="0" borderId="0" xfId="0" quotePrefix="1" applyFont="1" applyAlignment="1">
      <alignment vertical="center" wrapText="1"/>
    </xf>
    <xf numFmtId="0" fontId="24" fillId="0" borderId="0" xfId="0" quotePrefix="1" applyFont="1" applyAlignment="1">
      <alignment vertical="center" wrapText="1"/>
    </xf>
    <xf numFmtId="0" fontId="0" fillId="6" borderId="0" xfId="0" applyFont="1" applyFill="1"/>
    <xf numFmtId="0" fontId="0" fillId="7" borderId="0" xfId="0" applyFont="1" applyFill="1"/>
    <xf numFmtId="3" fontId="27" fillId="9" borderId="0" xfId="0" applyNumberFormat="1" applyFont="1" applyFill="1"/>
    <xf numFmtId="0" fontId="24" fillId="0" borderId="0" xfId="0" applyFont="1"/>
    <xf numFmtId="3" fontId="31" fillId="0" borderId="0" xfId="0" applyNumberFormat="1" applyFont="1" applyAlignment="1">
      <alignment wrapText="1"/>
    </xf>
    <xf numFmtId="0" fontId="31" fillId="0" borderId="0" xfId="0" applyFont="1"/>
    <xf numFmtId="0" fontId="0" fillId="0" borderId="0" xfId="0" applyAlignment="1">
      <alignment wrapText="1"/>
    </xf>
    <xf numFmtId="0" fontId="20" fillId="0" borderId="17" xfId="0" applyFont="1" applyBorder="1"/>
    <xf numFmtId="0" fontId="24" fillId="0" borderId="17" xfId="0" applyFont="1" applyBorder="1"/>
    <xf numFmtId="3" fontId="20" fillId="0" borderId="17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6" borderId="0" xfId="0" applyFont="1" applyFill="1"/>
    <xf numFmtId="4" fontId="0" fillId="0" borderId="0" xfId="0" applyNumberForma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/>
    <xf numFmtId="4" fontId="31" fillId="0" borderId="0" xfId="0" applyNumberFormat="1" applyFont="1" applyAlignment="1">
      <alignment wrapText="1"/>
    </xf>
    <xf numFmtId="0" fontId="31" fillId="0" borderId="0" xfId="0" applyFont="1" applyAlignment="1">
      <alignment horizontal="right"/>
    </xf>
    <xf numFmtId="0" fontId="21" fillId="16" borderId="0" xfId="0" applyFont="1" applyFill="1"/>
    <xf numFmtId="3" fontId="0" fillId="16" borderId="0" xfId="0" applyNumberFormat="1" applyFill="1"/>
    <xf numFmtId="4" fontId="32" fillId="0" borderId="0" xfId="0" applyNumberFormat="1" applyFont="1" applyAlignment="1">
      <alignment wrapText="1"/>
    </xf>
    <xf numFmtId="0" fontId="32" fillId="0" borderId="0" xfId="0" applyFont="1" applyAlignment="1">
      <alignment horizontal="right"/>
    </xf>
    <xf numFmtId="0" fontId="21" fillId="17" borderId="0" xfId="0" applyFont="1" applyFill="1"/>
    <xf numFmtId="3" fontId="0" fillId="17" borderId="0" xfId="0" applyNumberFormat="1" applyFill="1"/>
    <xf numFmtId="0" fontId="21" fillId="9" borderId="0" xfId="0" applyFont="1" applyFill="1"/>
    <xf numFmtId="3" fontId="0" fillId="9" borderId="0" xfId="0" applyNumberFormat="1" applyFill="1"/>
    <xf numFmtId="0" fontId="0" fillId="17" borderId="0" xfId="0" applyFont="1" applyFill="1"/>
    <xf numFmtId="3" fontId="0" fillId="0" borderId="0" xfId="0" applyNumberFormat="1" applyFill="1"/>
    <xf numFmtId="0" fontId="21" fillId="10" borderId="0" xfId="0" applyFont="1" applyFill="1"/>
    <xf numFmtId="3" fontId="0" fillId="10" borderId="0" xfId="0" applyNumberFormat="1" applyFill="1"/>
    <xf numFmtId="0" fontId="21" fillId="9" borderId="0" xfId="0" applyFont="1" applyFill="1" applyAlignment="1">
      <alignment horizontal="left"/>
    </xf>
    <xf numFmtId="0" fontId="24" fillId="6" borderId="0" xfId="0" applyFont="1" applyFill="1"/>
    <xf numFmtId="3" fontId="20" fillId="6" borderId="0" xfId="0" applyNumberFormat="1" applyFont="1" applyFill="1"/>
    <xf numFmtId="3" fontId="21" fillId="6" borderId="0" xfId="0" applyNumberFormat="1" applyFont="1" applyFill="1"/>
    <xf numFmtId="0" fontId="1" fillId="0" borderId="0" xfId="0" applyFont="1"/>
    <xf numFmtId="14" fontId="31" fillId="0" borderId="17" xfId="0" applyNumberFormat="1" applyFont="1" applyBorder="1" applyAlignment="1">
      <alignment wrapText="1"/>
    </xf>
    <xf numFmtId="3" fontId="31" fillId="0" borderId="17" xfId="0" applyNumberFormat="1" applyFont="1" applyBorder="1" applyAlignment="1">
      <alignment wrapText="1"/>
    </xf>
    <xf numFmtId="0" fontId="33" fillId="0" borderId="12" xfId="0" applyFont="1" applyBorder="1"/>
    <xf numFmtId="0" fontId="33" fillId="0" borderId="9" xfId="0" applyFont="1" applyBorder="1"/>
    <xf numFmtId="10" fontId="33" fillId="18" borderId="17" xfId="5" applyNumberFormat="1" applyFont="1" applyFill="1" applyBorder="1" applyAlignment="1" applyProtection="1"/>
    <xf numFmtId="0" fontId="0" fillId="0" borderId="0" xfId="0" applyBorder="1"/>
    <xf numFmtId="0" fontId="0" fillId="0" borderId="18" xfId="0" applyBorder="1"/>
    <xf numFmtId="3" fontId="33" fillId="0" borderId="17" xfId="0" applyNumberFormat="1" applyFont="1" applyBorder="1"/>
    <xf numFmtId="10" fontId="10" fillId="0" borderId="17" xfId="5" applyNumberFormat="1" applyFont="1" applyBorder="1" applyAlignment="1" applyProtection="1"/>
    <xf numFmtId="14" fontId="10" fillId="0" borderId="17" xfId="0" applyNumberFormat="1" applyFont="1" applyBorder="1"/>
    <xf numFmtId="3" fontId="31" fillId="0" borderId="19" xfId="0" applyNumberFormat="1" applyFont="1" applyBorder="1"/>
    <xf numFmtId="3" fontId="10" fillId="0" borderId="17" xfId="0" applyNumberFormat="1" applyFont="1" applyBorder="1"/>
    <xf numFmtId="3" fontId="31" fillId="0" borderId="17" xfId="0" applyNumberFormat="1" applyFont="1" applyBorder="1"/>
    <xf numFmtId="0" fontId="33" fillId="0" borderId="17" xfId="0" applyFont="1" applyBorder="1"/>
    <xf numFmtId="0" fontId="10" fillId="0" borderId="17" xfId="0" applyFont="1" applyBorder="1"/>
    <xf numFmtId="3" fontId="32" fillId="0" borderId="17" xfId="0" applyNumberFormat="1" applyFont="1" applyBorder="1"/>
    <xf numFmtId="4" fontId="0" fillId="0" borderId="0" xfId="0" applyNumberFormat="1"/>
    <xf numFmtId="3" fontId="22" fillId="0" borderId="0" xfId="0" applyNumberFormat="1" applyFont="1" applyFill="1"/>
    <xf numFmtId="49" fontId="20" fillId="0" borderId="17" xfId="0" applyNumberFormat="1" applyFont="1" applyFill="1" applyBorder="1"/>
    <xf numFmtId="0" fontId="23" fillId="0" borderId="17" xfId="0" applyFont="1" applyFill="1" applyBorder="1"/>
    <xf numFmtId="3" fontId="20" fillId="0" borderId="17" xfId="0" applyNumberFormat="1" applyFont="1" applyFill="1" applyBorder="1" applyAlignment="1">
      <alignment wrapText="1"/>
    </xf>
    <xf numFmtId="0" fontId="0" fillId="0" borderId="0" xfId="0" applyFill="1"/>
    <xf numFmtId="0" fontId="19" fillId="0" borderId="0" xfId="0" applyFont="1" applyFill="1"/>
    <xf numFmtId="3" fontId="20" fillId="0" borderId="0" xfId="0" applyNumberFormat="1" applyFont="1" applyFill="1"/>
    <xf numFmtId="3" fontId="21" fillId="0" borderId="0" xfId="0" applyNumberFormat="1" applyFont="1" applyFill="1"/>
    <xf numFmtId="49" fontId="20" fillId="0" borderId="0" xfId="0" applyNumberFormat="1" applyFont="1" applyFill="1"/>
    <xf numFmtId="0" fontId="23" fillId="0" borderId="0" xfId="0" applyFont="1" applyFill="1"/>
    <xf numFmtId="49" fontId="0" fillId="0" borderId="0" xfId="0" applyNumberFormat="1" applyFont="1" applyFill="1"/>
    <xf numFmtId="49" fontId="1" fillId="0" borderId="0" xfId="0" applyNumberFormat="1" applyFont="1" applyFill="1"/>
    <xf numFmtId="49" fontId="2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3" fontId="23" fillId="0" borderId="0" xfId="0" applyNumberFormat="1" applyFont="1" applyFill="1"/>
    <xf numFmtId="3" fontId="30" fillId="0" borderId="0" xfId="0" applyNumberFormat="1" applyFont="1" applyFill="1"/>
    <xf numFmtId="0" fontId="0" fillId="0" borderId="0" xfId="0" applyFont="1" applyFill="1"/>
    <xf numFmtId="49" fontId="20" fillId="0" borderId="19" xfId="0" applyNumberFormat="1" applyFont="1" applyFill="1" applyBorder="1"/>
    <xf numFmtId="0" fontId="23" fillId="0" borderId="20" xfId="0" applyFont="1" applyFill="1" applyBorder="1"/>
    <xf numFmtId="0" fontId="23" fillId="0" borderId="21" xfId="0" applyFont="1" applyFill="1" applyBorder="1"/>
  </cellXfs>
  <cellStyles count="7">
    <cellStyle name="Normaallaad" xfId="0" builtinId="0"/>
    <cellStyle name="Normaallaad 2" xfId="6"/>
    <cellStyle name="Normal 2" xfId="1"/>
    <cellStyle name="Normal_Sheet1" xfId="2"/>
    <cellStyle name="Normal_Sheet1 2" xfId="3"/>
    <cellStyle name="Protsent" xfId="5" builtinId="5"/>
    <cellStyle name="Prots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iu/A.RUTH/Eelarve/2017/2017%201.%20Lisaeelarve/13.04.2017%202017%201.LISAEELARVE%20LV%20detailne%20tulud%20ja%20kulud%20sisaldab%20ainult%202017%20eelarvet%20PMen%20sisestus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lud detailselt"/>
      <sheetName val="Kulud TA lõikes"/>
      <sheetName val="Suunatud raha"/>
      <sheetName val="laenud 2017"/>
      <sheetName val="Triin LA Ruth versioon"/>
    </sheetNames>
    <sheetDataSet>
      <sheetData sheetId="0">
        <row r="1">
          <cell r="J1">
            <v>17671241</v>
          </cell>
          <cell r="K1">
            <v>2868601.7899999996</v>
          </cell>
        </row>
      </sheetData>
      <sheetData sheetId="1"/>
      <sheetData sheetId="2">
        <row r="1">
          <cell r="E1">
            <v>202184.43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0"/>
  <sheetViews>
    <sheetView workbookViewId="0">
      <pane xSplit="3" ySplit="5" topLeftCell="D27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12.7109375" style="1" customWidth="1"/>
    <col min="2" max="2" width="1" style="28" customWidth="1"/>
    <col min="3" max="3" width="49.28515625" style="28" customWidth="1"/>
    <col min="4" max="4" width="10.85546875" style="2" bestFit="1" customWidth="1"/>
    <col min="5" max="5" width="10.5703125" style="2" bestFit="1" customWidth="1"/>
    <col min="6" max="6" width="29.140625" style="2" bestFit="1" customWidth="1"/>
    <col min="7" max="7" width="9.140625" customWidth="1"/>
    <col min="8" max="8" width="12.28515625" bestFit="1" customWidth="1"/>
  </cols>
  <sheetData>
    <row r="1" spans="1:6" ht="15" x14ac:dyDescent="0.25">
      <c r="A1" s="49"/>
      <c r="B1" s="49"/>
      <c r="C1" s="49"/>
      <c r="E1" s="43"/>
      <c r="F1" s="43" t="s">
        <v>106</v>
      </c>
    </row>
    <row r="2" spans="1:6" ht="15" x14ac:dyDescent="0.25">
      <c r="A2" s="49"/>
      <c r="B2" s="49"/>
      <c r="C2" s="49"/>
      <c r="E2" s="44"/>
      <c r="F2" s="44" t="s">
        <v>107</v>
      </c>
    </row>
    <row r="3" spans="1:6" ht="15" x14ac:dyDescent="0.25">
      <c r="A3" s="49"/>
      <c r="B3" s="49"/>
      <c r="C3" s="49"/>
      <c r="E3" s="45"/>
      <c r="F3" s="45" t="s">
        <v>109</v>
      </c>
    </row>
    <row r="4" spans="1:6" ht="13.5" thickBot="1" x14ac:dyDescent="0.25">
      <c r="A4" s="86" t="s">
        <v>113</v>
      </c>
      <c r="B4" s="42"/>
      <c r="C4" s="42"/>
      <c r="D4" s="42"/>
      <c r="E4" s="42"/>
      <c r="F4" s="42"/>
    </row>
    <row r="5" spans="1:6" ht="55.15" customHeight="1" thickBot="1" x14ac:dyDescent="0.25">
      <c r="A5" s="3"/>
      <c r="B5" s="4" t="s">
        <v>0</v>
      </c>
      <c r="C5" s="5"/>
      <c r="D5" s="51" t="s">
        <v>110</v>
      </c>
      <c r="E5" s="51" t="s">
        <v>111</v>
      </c>
      <c r="F5" s="48" t="s">
        <v>112</v>
      </c>
    </row>
    <row r="6" spans="1:6" ht="13.5" thickBot="1" x14ac:dyDescent="0.25">
      <c r="A6" s="3"/>
      <c r="B6" s="15" t="s">
        <v>1</v>
      </c>
      <c r="C6" s="40"/>
      <c r="D6" s="52">
        <f>D7+D14+D15+D19</f>
        <v>16987970</v>
      </c>
      <c r="E6" s="52">
        <f>E7+E14+E15+E19</f>
        <v>690070.15</v>
      </c>
      <c r="F6" s="47">
        <f>F7+F14+F15+F19</f>
        <v>17678040.149999999</v>
      </c>
    </row>
    <row r="7" spans="1:6" ht="13.5" thickBot="1" x14ac:dyDescent="0.25">
      <c r="A7" s="3">
        <v>30</v>
      </c>
      <c r="B7" s="6" t="s">
        <v>2</v>
      </c>
      <c r="C7" s="7"/>
      <c r="D7" s="54">
        <f>SUM(D8:D13)</f>
        <v>10244348</v>
      </c>
      <c r="E7" s="54">
        <f>SUM(E8:E13)</f>
        <v>0</v>
      </c>
      <c r="F7" s="46">
        <f>SUM(F8:F13)</f>
        <v>10244348</v>
      </c>
    </row>
    <row r="8" spans="1:6" x14ac:dyDescent="0.2">
      <c r="A8" s="31">
        <v>3000</v>
      </c>
      <c r="B8" s="8"/>
      <c r="C8" s="9" t="s">
        <v>3</v>
      </c>
      <c r="D8" s="56">
        <v>10071048</v>
      </c>
      <c r="E8" s="56">
        <f>+F8-D8</f>
        <v>0</v>
      </c>
      <c r="F8" s="60">
        <v>10071048</v>
      </c>
    </row>
    <row r="9" spans="1:6" x14ac:dyDescent="0.2">
      <c r="A9" s="29">
        <v>3030</v>
      </c>
      <c r="B9" s="10"/>
      <c r="C9" s="9" t="s">
        <v>4</v>
      </c>
      <c r="D9" s="56">
        <v>170300</v>
      </c>
      <c r="E9" s="56">
        <f>+F9-D9</f>
        <v>0</v>
      </c>
      <c r="F9" s="60">
        <v>170300</v>
      </c>
    </row>
    <row r="10" spans="1:6" hidden="1" x14ac:dyDescent="0.2">
      <c r="A10" s="29">
        <v>3034</v>
      </c>
      <c r="B10" s="10"/>
      <c r="C10" s="9" t="s">
        <v>5</v>
      </c>
      <c r="D10" s="56"/>
      <c r="E10" s="56"/>
      <c r="F10" s="60"/>
    </row>
    <row r="11" spans="1:6" hidden="1" x14ac:dyDescent="0.2">
      <c r="A11" s="29">
        <v>3044</v>
      </c>
      <c r="B11" s="10"/>
      <c r="C11" s="9" t="s">
        <v>6</v>
      </c>
      <c r="D11" s="56"/>
      <c r="E11" s="56"/>
      <c r="F11" s="60"/>
    </row>
    <row r="12" spans="1:6" ht="13.5" thickBot="1" x14ac:dyDescent="0.25">
      <c r="A12" s="29">
        <v>3045</v>
      </c>
      <c r="B12" s="10"/>
      <c r="C12" s="9" t="s">
        <v>7</v>
      </c>
      <c r="D12" s="56">
        <v>3000</v>
      </c>
      <c r="E12" s="56">
        <f>+F12-D12</f>
        <v>0</v>
      </c>
      <c r="F12" s="60">
        <v>3000</v>
      </c>
    </row>
    <row r="13" spans="1:6" ht="13.5" hidden="1" thickBot="1" x14ac:dyDescent="0.25">
      <c r="A13" s="30">
        <v>3047</v>
      </c>
      <c r="B13" s="10"/>
      <c r="C13" s="11" t="s">
        <v>8</v>
      </c>
      <c r="D13" s="56"/>
      <c r="E13" s="56"/>
      <c r="F13" s="60"/>
    </row>
    <row r="14" spans="1:6" ht="13.5" thickBot="1" x14ac:dyDescent="0.25">
      <c r="A14" s="50">
        <v>32</v>
      </c>
      <c r="B14" s="58" t="s">
        <v>9</v>
      </c>
      <c r="C14" s="53"/>
      <c r="D14" s="54">
        <v>1179793</v>
      </c>
      <c r="E14" s="54">
        <f>+F14-D14</f>
        <v>61829.219999999972</v>
      </c>
      <c r="F14" s="55">
        <v>1241622.22</v>
      </c>
    </row>
    <row r="15" spans="1:6" ht="13.5" thickBot="1" x14ac:dyDescent="0.25">
      <c r="A15" s="3" t="s">
        <v>10</v>
      </c>
      <c r="B15" s="15" t="s">
        <v>11</v>
      </c>
      <c r="C15" s="7"/>
      <c r="D15" s="54">
        <f>D16+D17+D18</f>
        <v>5530829</v>
      </c>
      <c r="E15" s="54">
        <f>E16+E17+E18</f>
        <v>628240.93000000005</v>
      </c>
      <c r="F15" s="46">
        <f>F16+F17+F18</f>
        <v>6159069.9299999997</v>
      </c>
    </row>
    <row r="16" spans="1:6" x14ac:dyDescent="0.2">
      <c r="A16" s="29" t="s">
        <v>12</v>
      </c>
      <c r="B16" s="10"/>
      <c r="C16" s="9" t="s">
        <v>13</v>
      </c>
      <c r="D16" s="66">
        <v>1276056</v>
      </c>
      <c r="E16" s="56">
        <f t="shared" ref="E16:E18" si="0">+F16-D16</f>
        <v>-116964</v>
      </c>
      <c r="F16" s="59">
        <v>1159092</v>
      </c>
    </row>
    <row r="17" spans="1:6" x14ac:dyDescent="0.2">
      <c r="A17" s="29" t="s">
        <v>14</v>
      </c>
      <c r="B17" s="10"/>
      <c r="C17" s="11" t="s">
        <v>15</v>
      </c>
      <c r="D17" s="56">
        <v>4093078</v>
      </c>
      <c r="E17" s="56">
        <f t="shared" si="0"/>
        <v>287737</v>
      </c>
      <c r="F17" s="60">
        <v>4380815</v>
      </c>
    </row>
    <row r="18" spans="1:6" ht="13.5" thickBot="1" x14ac:dyDescent="0.25">
      <c r="A18" s="30" t="s">
        <v>10</v>
      </c>
      <c r="B18" s="13"/>
      <c r="C18" s="16" t="s">
        <v>16</v>
      </c>
      <c r="D18" s="67">
        <v>161695</v>
      </c>
      <c r="E18" s="56">
        <f t="shared" si="0"/>
        <v>457467.93000000005</v>
      </c>
      <c r="F18" s="61">
        <v>619162.93000000005</v>
      </c>
    </row>
    <row r="19" spans="1:6" ht="13.5" thickBot="1" x14ac:dyDescent="0.25">
      <c r="A19" s="3" t="s">
        <v>17</v>
      </c>
      <c r="B19" s="15" t="s">
        <v>18</v>
      </c>
      <c r="C19" s="7"/>
      <c r="D19" s="54">
        <f>SUM(D20:D23)</f>
        <v>33000</v>
      </c>
      <c r="E19" s="54">
        <v>0</v>
      </c>
      <c r="F19" s="46">
        <f>SUM(F20:F23)</f>
        <v>33000</v>
      </c>
    </row>
    <row r="20" spans="1:6" hidden="1" x14ac:dyDescent="0.2">
      <c r="A20" s="29" t="s">
        <v>19</v>
      </c>
      <c r="B20" s="10"/>
      <c r="C20" s="17" t="s">
        <v>20</v>
      </c>
      <c r="D20" s="62"/>
      <c r="E20" s="62"/>
      <c r="F20" s="76"/>
    </row>
    <row r="21" spans="1:6" ht="13.5" thickBot="1" x14ac:dyDescent="0.25">
      <c r="A21" s="29">
        <v>382540</v>
      </c>
      <c r="B21" s="10"/>
      <c r="C21" s="9" t="s">
        <v>21</v>
      </c>
      <c r="D21" s="62">
        <v>33000</v>
      </c>
      <c r="E21" s="56">
        <f>+F21-D21</f>
        <v>0</v>
      </c>
      <c r="F21" s="76">
        <v>33000</v>
      </c>
    </row>
    <row r="22" spans="1:6" hidden="1" x14ac:dyDescent="0.2">
      <c r="A22" s="29">
        <v>3882</v>
      </c>
      <c r="B22" s="10"/>
      <c r="C22" s="9" t="s">
        <v>22</v>
      </c>
      <c r="D22" s="65"/>
      <c r="E22" s="65"/>
      <c r="F22" s="70"/>
    </row>
    <row r="23" spans="1:6" ht="13.5" hidden="1" thickBot="1" x14ac:dyDescent="0.25">
      <c r="A23" s="30" t="s">
        <v>105</v>
      </c>
      <c r="B23" s="13"/>
      <c r="C23" s="14" t="s">
        <v>104</v>
      </c>
      <c r="D23" s="67"/>
      <c r="E23" s="56"/>
      <c r="F23" s="61"/>
    </row>
    <row r="24" spans="1:6" ht="13.5" thickBot="1" x14ac:dyDescent="0.25">
      <c r="A24" s="50"/>
      <c r="B24" s="58" t="s">
        <v>23</v>
      </c>
      <c r="C24" s="53"/>
      <c r="D24" s="54">
        <f>D25+D30</f>
        <v>15926615</v>
      </c>
      <c r="E24" s="54">
        <f>E25+E30</f>
        <v>750503.00999999954</v>
      </c>
      <c r="F24" s="55">
        <f>F25+F30</f>
        <v>16677118.009999998</v>
      </c>
    </row>
    <row r="25" spans="1:6" ht="13.5" thickBot="1" x14ac:dyDescent="0.25">
      <c r="A25" s="18" t="s">
        <v>24</v>
      </c>
      <c r="B25" s="19" t="s">
        <v>25</v>
      </c>
      <c r="C25" s="20"/>
      <c r="D25" s="63">
        <f>D26+D27+D28+D29</f>
        <v>1116279</v>
      </c>
      <c r="E25" s="63">
        <f>E26+E27+E28+E29</f>
        <v>299115.19999999995</v>
      </c>
      <c r="F25" s="77">
        <f>F26+F27+F28+F29</f>
        <v>1415394.2</v>
      </c>
    </row>
    <row r="26" spans="1:6" hidden="1" x14ac:dyDescent="0.2">
      <c r="A26" s="31">
        <v>40</v>
      </c>
      <c r="B26" s="8"/>
      <c r="C26" s="21" t="s">
        <v>26</v>
      </c>
      <c r="D26" s="64"/>
      <c r="E26" s="64"/>
      <c r="F26" s="78"/>
    </row>
    <row r="27" spans="1:6" x14ac:dyDescent="0.2">
      <c r="A27" s="29">
        <v>413</v>
      </c>
      <c r="B27" s="10"/>
      <c r="C27" s="17" t="s">
        <v>27</v>
      </c>
      <c r="D27" s="65">
        <v>584807</v>
      </c>
      <c r="E27" s="56">
        <f t="shared" ref="E27:E29" si="1">+F27-D27</f>
        <v>154533.19999999995</v>
      </c>
      <c r="F27" s="70">
        <v>739340.2</v>
      </c>
    </row>
    <row r="28" spans="1:6" x14ac:dyDescent="0.2">
      <c r="A28" s="29">
        <v>4500</v>
      </c>
      <c r="B28" s="10"/>
      <c r="C28" s="22" t="s">
        <v>28</v>
      </c>
      <c r="D28" s="65">
        <v>507262</v>
      </c>
      <c r="E28" s="56">
        <f t="shared" si="1"/>
        <v>143582</v>
      </c>
      <c r="F28" s="70">
        <v>650844</v>
      </c>
    </row>
    <row r="29" spans="1:6" ht="13.5" thickBot="1" x14ac:dyDescent="0.25">
      <c r="A29" s="32">
        <v>452</v>
      </c>
      <c r="B29" s="23"/>
      <c r="C29" s="24" t="s">
        <v>29</v>
      </c>
      <c r="D29" s="56">
        <v>24210</v>
      </c>
      <c r="E29" s="56">
        <f t="shared" si="1"/>
        <v>1000</v>
      </c>
      <c r="F29" s="60">
        <v>25210</v>
      </c>
    </row>
    <row r="30" spans="1:6" ht="13.5" thickBot="1" x14ac:dyDescent="0.25">
      <c r="A30" s="12"/>
      <c r="B30" s="15" t="s">
        <v>30</v>
      </c>
      <c r="C30" s="7"/>
      <c r="D30" s="54">
        <f>D31+D32+D33</f>
        <v>14810336</v>
      </c>
      <c r="E30" s="54">
        <f>E31+E32+E33</f>
        <v>451387.80999999959</v>
      </c>
      <c r="F30" s="46">
        <f>F31+F32+F33</f>
        <v>15261723.809999999</v>
      </c>
    </row>
    <row r="31" spans="1:6" x14ac:dyDescent="0.2">
      <c r="A31" s="29">
        <v>50</v>
      </c>
      <c r="B31" s="10"/>
      <c r="C31" s="9" t="s">
        <v>31</v>
      </c>
      <c r="D31" s="66">
        <f>926+309+9133106+18000+6000</f>
        <v>9158341</v>
      </c>
      <c r="E31" s="56">
        <f t="shared" ref="E31:E33" si="2">+F31-D31</f>
        <v>241365</v>
      </c>
      <c r="F31" s="59">
        <v>9399706</v>
      </c>
    </row>
    <row r="32" spans="1:6" x14ac:dyDescent="0.2">
      <c r="A32" s="29">
        <v>55</v>
      </c>
      <c r="B32" s="10"/>
      <c r="C32" s="9" t="s">
        <v>32</v>
      </c>
      <c r="D32" s="65">
        <v>5604795</v>
      </c>
      <c r="E32" s="56">
        <f t="shared" si="2"/>
        <v>212322.80999999959</v>
      </c>
      <c r="F32" s="70">
        <v>5817117.8099999996</v>
      </c>
    </row>
    <row r="33" spans="1:8" ht="13.5" thickBot="1" x14ac:dyDescent="0.25">
      <c r="A33" s="30">
        <v>60</v>
      </c>
      <c r="B33" s="13"/>
      <c r="C33" s="14" t="s">
        <v>33</v>
      </c>
      <c r="D33" s="57">
        <v>47200</v>
      </c>
      <c r="E33" s="56">
        <f t="shared" si="2"/>
        <v>-2300</v>
      </c>
      <c r="F33" s="80">
        <v>44900</v>
      </c>
    </row>
    <row r="34" spans="1:8" ht="13.5" thickBot="1" x14ac:dyDescent="0.25">
      <c r="A34" s="12"/>
      <c r="B34" s="6" t="s">
        <v>34</v>
      </c>
      <c r="C34" s="16"/>
      <c r="D34" s="75">
        <f>D6-D24</f>
        <v>1061355</v>
      </c>
      <c r="E34" s="73">
        <f>E6-E24</f>
        <v>-60432.85999999952</v>
      </c>
      <c r="F34" s="71">
        <f>F6-F24</f>
        <v>1000922.1400000006</v>
      </c>
      <c r="H34" s="221"/>
    </row>
    <row r="35" spans="1:8" ht="13.5" thickBot="1" x14ac:dyDescent="0.25">
      <c r="A35" s="12"/>
      <c r="B35" s="38" t="s">
        <v>35</v>
      </c>
      <c r="C35" s="39"/>
      <c r="D35" s="74">
        <f>D36+D37+D38+D39+D40+D41+D42+D43+D44+D45+D46+D47</f>
        <v>-464972</v>
      </c>
      <c r="E35" s="74">
        <f>E36+E37+E38+E39+E40+E41+E42+E43+E44+E45+E46+E47</f>
        <v>-1914098.7799999998</v>
      </c>
      <c r="F35" s="72">
        <f>F36+F37+F38+F39+F40+F41+F42+F43+F44+F45+F46+F47</f>
        <v>-2379070.7799999998</v>
      </c>
      <c r="H35" s="155"/>
    </row>
    <row r="36" spans="1:8" x14ac:dyDescent="0.2">
      <c r="A36" s="29">
        <v>381</v>
      </c>
      <c r="B36" s="10"/>
      <c r="C36" s="9" t="s">
        <v>36</v>
      </c>
      <c r="D36" s="56">
        <v>0</v>
      </c>
      <c r="E36" s="56">
        <f t="shared" ref="E36:E39" si="3">+F36-D36</f>
        <v>180000</v>
      </c>
      <c r="F36" s="60">
        <v>180000</v>
      </c>
    </row>
    <row r="37" spans="1:8" x14ac:dyDescent="0.2">
      <c r="A37" s="29">
        <v>15</v>
      </c>
      <c r="B37" s="10"/>
      <c r="C37" s="9" t="s">
        <v>37</v>
      </c>
      <c r="D37" s="56">
        <v>-325118</v>
      </c>
      <c r="E37" s="56">
        <f t="shared" si="3"/>
        <v>-2074098.7799999998</v>
      </c>
      <c r="F37" s="60">
        <v>-2399216.7799999998</v>
      </c>
    </row>
    <row r="38" spans="1:8" x14ac:dyDescent="0.2">
      <c r="A38" s="29">
        <v>3502</v>
      </c>
      <c r="B38" s="10"/>
      <c r="C38" s="9" t="s">
        <v>38</v>
      </c>
      <c r="D38" s="65">
        <v>31956</v>
      </c>
      <c r="E38" s="56">
        <f t="shared" si="3"/>
        <v>0</v>
      </c>
      <c r="F38" s="70">
        <v>31956</v>
      </c>
    </row>
    <row r="39" spans="1:8" x14ac:dyDescent="0.2">
      <c r="A39" s="29">
        <v>4502</v>
      </c>
      <c r="B39" s="10"/>
      <c r="C39" s="22" t="s">
        <v>39</v>
      </c>
      <c r="D39" s="56">
        <v>-41510</v>
      </c>
      <c r="E39" s="56">
        <f t="shared" si="3"/>
        <v>-20000</v>
      </c>
      <c r="F39" s="60">
        <v>-61510</v>
      </c>
    </row>
    <row r="40" spans="1:8" hidden="1" x14ac:dyDescent="0.2">
      <c r="A40" s="33" t="s">
        <v>40</v>
      </c>
      <c r="B40" s="25"/>
      <c r="C40" s="9" t="s">
        <v>41</v>
      </c>
      <c r="D40" s="68"/>
      <c r="E40" s="68"/>
      <c r="F40" s="79"/>
    </row>
    <row r="41" spans="1:8" hidden="1" x14ac:dyDescent="0.2">
      <c r="A41" s="33" t="s">
        <v>42</v>
      </c>
      <c r="B41" s="25"/>
      <c r="C41" s="9" t="s">
        <v>43</v>
      </c>
      <c r="D41" s="68"/>
      <c r="E41" s="68"/>
      <c r="F41" s="79"/>
    </row>
    <row r="42" spans="1:8" hidden="1" x14ac:dyDescent="0.2">
      <c r="A42" s="33" t="s">
        <v>44</v>
      </c>
      <c r="B42" s="10"/>
      <c r="C42" s="25" t="s">
        <v>45</v>
      </c>
      <c r="D42" s="68"/>
      <c r="E42" s="68"/>
      <c r="F42" s="79"/>
    </row>
    <row r="43" spans="1:8" hidden="1" x14ac:dyDescent="0.2">
      <c r="A43" s="33" t="s">
        <v>46</v>
      </c>
      <c r="B43" s="10"/>
      <c r="C43" s="25" t="s">
        <v>47</v>
      </c>
      <c r="D43" s="68"/>
      <c r="E43" s="68"/>
      <c r="F43" s="79"/>
    </row>
    <row r="44" spans="1:8" hidden="1" x14ac:dyDescent="0.2">
      <c r="A44" s="29" t="s">
        <v>48</v>
      </c>
      <c r="B44" s="10"/>
      <c r="C44" s="25" t="s">
        <v>49</v>
      </c>
      <c r="D44" s="56"/>
      <c r="E44" s="56"/>
      <c r="F44" s="60"/>
    </row>
    <row r="45" spans="1:8" hidden="1" x14ac:dyDescent="0.2">
      <c r="A45" s="29" t="s">
        <v>50</v>
      </c>
      <c r="B45" s="10"/>
      <c r="C45" s="22" t="s">
        <v>51</v>
      </c>
      <c r="D45" s="68"/>
      <c r="E45" s="68"/>
      <c r="F45" s="79"/>
    </row>
    <row r="46" spans="1:8" hidden="1" x14ac:dyDescent="0.2">
      <c r="A46" s="34">
        <v>382</v>
      </c>
      <c r="B46" s="25"/>
      <c r="C46" s="9" t="s">
        <v>52</v>
      </c>
      <c r="D46" s="68"/>
      <c r="E46" s="68"/>
      <c r="F46" s="79"/>
    </row>
    <row r="47" spans="1:8" ht="13.5" thickBot="1" x14ac:dyDescent="0.25">
      <c r="A47" s="30">
        <v>65</v>
      </c>
      <c r="B47" s="13"/>
      <c r="C47" s="14" t="s">
        <v>53</v>
      </c>
      <c r="D47" s="57">
        <v>-130300</v>
      </c>
      <c r="E47" s="56">
        <f>+F47-D47</f>
        <v>0</v>
      </c>
      <c r="F47" s="80">
        <v>-130300</v>
      </c>
    </row>
    <row r="48" spans="1:8" ht="13.5" thickBot="1" x14ac:dyDescent="0.25">
      <c r="A48" s="3"/>
      <c r="B48" s="15" t="s">
        <v>54</v>
      </c>
      <c r="C48" s="37"/>
      <c r="D48" s="73">
        <f>D34+D35</f>
        <v>596383</v>
      </c>
      <c r="E48" s="73">
        <f>E34+E35</f>
        <v>-1974531.6399999992</v>
      </c>
      <c r="F48" s="81">
        <f>F34+F35</f>
        <v>-1378148.6399999992</v>
      </c>
    </row>
    <row r="49" spans="1:6" ht="13.5" thickBot="1" x14ac:dyDescent="0.25">
      <c r="A49" s="3"/>
      <c r="B49" s="38" t="s">
        <v>55</v>
      </c>
      <c r="C49" s="39"/>
      <c r="D49" s="74">
        <f>D50+D51</f>
        <v>-1271698</v>
      </c>
      <c r="E49" s="74">
        <f>E50+E51</f>
        <v>0</v>
      </c>
      <c r="F49" s="72">
        <f>F50+F51</f>
        <v>-1271698</v>
      </c>
    </row>
    <row r="50" spans="1:6" x14ac:dyDescent="0.2">
      <c r="A50" s="35" t="s">
        <v>56</v>
      </c>
      <c r="B50" s="26"/>
      <c r="C50" s="10" t="s">
        <v>57</v>
      </c>
      <c r="D50" s="68">
        <v>0</v>
      </c>
      <c r="E50" s="56"/>
      <c r="F50" s="79">
        <v>0</v>
      </c>
    </row>
    <row r="51" spans="1:6" ht="13.5" thickBot="1" x14ac:dyDescent="0.25">
      <c r="A51" s="36" t="s">
        <v>58</v>
      </c>
      <c r="B51" s="27"/>
      <c r="C51" s="13" t="s">
        <v>59</v>
      </c>
      <c r="D51" s="69">
        <v>-1271698</v>
      </c>
      <c r="E51" s="56">
        <f t="shared" ref="E51" si="4">+F51-D51</f>
        <v>0</v>
      </c>
      <c r="F51" s="82">
        <v>-1271698</v>
      </c>
    </row>
    <row r="52" spans="1:6" ht="18.600000000000001" customHeight="1" thickBot="1" x14ac:dyDescent="0.25">
      <c r="A52" s="3">
        <v>1001</v>
      </c>
      <c r="B52" s="85" t="s">
        <v>60</v>
      </c>
      <c r="C52" s="84"/>
      <c r="D52" s="74">
        <f>-650080-926-309-18000-6000</f>
        <v>-675315</v>
      </c>
      <c r="E52" s="74">
        <f>+F52-D52</f>
        <v>-1974531.6400000001</v>
      </c>
      <c r="F52" s="72">
        <v>-2649846.64</v>
      </c>
    </row>
    <row r="53" spans="1:6" ht="13.5" hidden="1" thickBot="1" x14ac:dyDescent="0.25">
      <c r="A53" s="3"/>
      <c r="B53" s="19" t="s">
        <v>61</v>
      </c>
      <c r="C53" s="14"/>
      <c r="D53" s="41"/>
      <c r="E53" s="83"/>
      <c r="F53" s="71"/>
    </row>
    <row r="54" spans="1:6" x14ac:dyDescent="0.2">
      <c r="B54" s="1"/>
      <c r="C54" s="1"/>
      <c r="F54" s="41"/>
    </row>
    <row r="55" spans="1:6" x14ac:dyDescent="0.2">
      <c r="B55" s="1"/>
      <c r="C55" s="1"/>
      <c r="F55" s="41"/>
    </row>
    <row r="56" spans="1:6" x14ac:dyDescent="0.2">
      <c r="B56" s="1"/>
      <c r="C56" s="1"/>
      <c r="F56" s="41"/>
    </row>
    <row r="57" spans="1:6" x14ac:dyDescent="0.2">
      <c r="B57" s="1"/>
      <c r="C57" s="1"/>
      <c r="F57" s="41"/>
    </row>
    <row r="58" spans="1:6" x14ac:dyDescent="0.2">
      <c r="B58" s="1"/>
      <c r="C58" s="1"/>
      <c r="F58" s="41"/>
    </row>
    <row r="59" spans="1:6" x14ac:dyDescent="0.2">
      <c r="B59" s="1"/>
      <c r="C59" s="1"/>
      <c r="F59" s="41"/>
    </row>
    <row r="60" spans="1:6" x14ac:dyDescent="0.2">
      <c r="B60" s="1"/>
      <c r="C60" s="1"/>
      <c r="F60" s="41"/>
    </row>
    <row r="61" spans="1:6" x14ac:dyDescent="0.2">
      <c r="B61" s="1"/>
      <c r="C61" s="1"/>
      <c r="F61" s="41"/>
    </row>
    <row r="62" spans="1:6" x14ac:dyDescent="0.2">
      <c r="B62" s="1"/>
      <c r="C62" s="1"/>
      <c r="F62" s="41"/>
    </row>
    <row r="63" spans="1:6" x14ac:dyDescent="0.2">
      <c r="B63" s="1"/>
      <c r="C63" s="1"/>
      <c r="F63" s="41"/>
    </row>
    <row r="64" spans="1:6" x14ac:dyDescent="0.2">
      <c r="B64" s="1"/>
      <c r="C64" s="1"/>
      <c r="F64" s="41"/>
    </row>
    <row r="65" spans="2:6" x14ac:dyDescent="0.2">
      <c r="B65" s="1"/>
      <c r="C65" s="1"/>
      <c r="F65" s="41"/>
    </row>
    <row r="66" spans="2:6" x14ac:dyDescent="0.2">
      <c r="B66" s="1"/>
      <c r="C66" s="1"/>
      <c r="F66" s="41"/>
    </row>
    <row r="67" spans="2:6" x14ac:dyDescent="0.2">
      <c r="B67" s="1"/>
      <c r="C67" s="1"/>
      <c r="F67" s="41"/>
    </row>
    <row r="68" spans="2:6" x14ac:dyDescent="0.2">
      <c r="B68" s="1"/>
      <c r="C68" s="1"/>
      <c r="F68" s="41"/>
    </row>
    <row r="69" spans="2:6" x14ac:dyDescent="0.2">
      <c r="B69" s="1"/>
      <c r="C69" s="1"/>
      <c r="F69" s="41"/>
    </row>
    <row r="70" spans="2:6" x14ac:dyDescent="0.2">
      <c r="B70" s="1"/>
      <c r="C70" s="1"/>
      <c r="F70" s="41"/>
    </row>
    <row r="71" spans="2:6" x14ac:dyDescent="0.2">
      <c r="B71" s="1"/>
      <c r="C71" s="1"/>
      <c r="F71" s="41"/>
    </row>
    <row r="72" spans="2:6" x14ac:dyDescent="0.2">
      <c r="B72" s="1"/>
      <c r="C72" s="1"/>
      <c r="F72" s="41"/>
    </row>
    <row r="73" spans="2:6" x14ac:dyDescent="0.2">
      <c r="B73" s="1"/>
      <c r="C73" s="1"/>
      <c r="F73" s="41"/>
    </row>
    <row r="74" spans="2:6" x14ac:dyDescent="0.2">
      <c r="B74" s="1"/>
      <c r="C74" s="1"/>
      <c r="F74" s="41"/>
    </row>
    <row r="75" spans="2:6" x14ac:dyDescent="0.2">
      <c r="B75" s="1"/>
      <c r="C75" s="1"/>
      <c r="F75" s="41"/>
    </row>
    <row r="76" spans="2:6" x14ac:dyDescent="0.2">
      <c r="B76" s="1"/>
      <c r="C76" s="1"/>
      <c r="F76" s="41"/>
    </row>
    <row r="77" spans="2:6" x14ac:dyDescent="0.2">
      <c r="B77" s="1"/>
      <c r="C77" s="1"/>
      <c r="F77" s="41"/>
    </row>
    <row r="78" spans="2:6" x14ac:dyDescent="0.2">
      <c r="B78" s="1"/>
      <c r="C78" s="1"/>
      <c r="F78" s="41"/>
    </row>
    <row r="79" spans="2:6" x14ac:dyDescent="0.2">
      <c r="B79" s="1"/>
      <c r="C79" s="1"/>
      <c r="F79" s="41"/>
    </row>
    <row r="80" spans="2:6" x14ac:dyDescent="0.2">
      <c r="B80" s="1"/>
      <c r="C80" s="1"/>
      <c r="F80" s="41"/>
    </row>
    <row r="81" spans="2:6" x14ac:dyDescent="0.2">
      <c r="B81" s="1"/>
      <c r="C81" s="1"/>
      <c r="F81" s="41"/>
    </row>
    <row r="82" spans="2:6" x14ac:dyDescent="0.2">
      <c r="B82" s="1"/>
      <c r="C82" s="1"/>
      <c r="F82" s="41"/>
    </row>
    <row r="83" spans="2:6" x14ac:dyDescent="0.2">
      <c r="B83" s="1"/>
      <c r="C83" s="1"/>
      <c r="F83" s="41"/>
    </row>
    <row r="84" spans="2:6" x14ac:dyDescent="0.2">
      <c r="B84" s="1"/>
      <c r="C84" s="1"/>
      <c r="F84" s="41"/>
    </row>
    <row r="85" spans="2:6" x14ac:dyDescent="0.2">
      <c r="B85" s="1"/>
      <c r="C85" s="1"/>
      <c r="F85" s="41"/>
    </row>
    <row r="86" spans="2:6" x14ac:dyDescent="0.2">
      <c r="B86" s="1"/>
      <c r="C86" s="1"/>
      <c r="F86" s="41"/>
    </row>
    <row r="87" spans="2:6" x14ac:dyDescent="0.2">
      <c r="B87" s="1"/>
      <c r="C87" s="1"/>
      <c r="F87" s="41"/>
    </row>
    <row r="88" spans="2:6" x14ac:dyDescent="0.2">
      <c r="B88" s="1"/>
      <c r="C88" s="1"/>
      <c r="F88" s="41"/>
    </row>
    <row r="89" spans="2:6" x14ac:dyDescent="0.2">
      <c r="B89" s="1"/>
      <c r="C89" s="1"/>
      <c r="F89" s="41"/>
    </row>
    <row r="90" spans="2:6" x14ac:dyDescent="0.2">
      <c r="B90" s="1"/>
      <c r="C90" s="1"/>
      <c r="F90" s="41"/>
    </row>
    <row r="91" spans="2:6" x14ac:dyDescent="0.2">
      <c r="B91" s="1"/>
      <c r="C91" s="1"/>
      <c r="F91" s="41"/>
    </row>
    <row r="92" spans="2:6" x14ac:dyDescent="0.2">
      <c r="B92" s="1"/>
      <c r="C92" s="1"/>
      <c r="F92" s="41"/>
    </row>
    <row r="93" spans="2:6" x14ac:dyDescent="0.2">
      <c r="B93" s="1"/>
      <c r="C93" s="1"/>
      <c r="F93" s="41"/>
    </row>
    <row r="94" spans="2:6" x14ac:dyDescent="0.2">
      <c r="B94" s="1"/>
      <c r="C94" s="1"/>
      <c r="F94" s="41"/>
    </row>
    <row r="95" spans="2:6" x14ac:dyDescent="0.2">
      <c r="B95" s="1"/>
      <c r="C95" s="1"/>
      <c r="F95" s="41"/>
    </row>
    <row r="96" spans="2:6" x14ac:dyDescent="0.2">
      <c r="B96" s="1"/>
      <c r="C96" s="1"/>
      <c r="F96" s="41"/>
    </row>
    <row r="97" spans="2:6" x14ac:dyDescent="0.2">
      <c r="B97" s="1"/>
      <c r="C97" s="1"/>
      <c r="F97" s="41"/>
    </row>
    <row r="98" spans="2:6" x14ac:dyDescent="0.2">
      <c r="B98" s="1"/>
      <c r="C98" s="1"/>
      <c r="F98" s="41"/>
    </row>
    <row r="99" spans="2:6" x14ac:dyDescent="0.2">
      <c r="B99" s="1"/>
      <c r="C99" s="1"/>
      <c r="F99" s="41"/>
    </row>
    <row r="100" spans="2:6" x14ac:dyDescent="0.2">
      <c r="B100" s="1"/>
      <c r="C100" s="1"/>
      <c r="F100" s="41"/>
    </row>
    <row r="101" spans="2:6" x14ac:dyDescent="0.2">
      <c r="B101" s="1"/>
      <c r="C101" s="1"/>
      <c r="F101" s="41"/>
    </row>
    <row r="102" spans="2:6" x14ac:dyDescent="0.2">
      <c r="B102" s="1"/>
      <c r="C102" s="1"/>
      <c r="F102" s="41"/>
    </row>
    <row r="103" spans="2:6" x14ac:dyDescent="0.2">
      <c r="B103" s="1"/>
      <c r="C103" s="1"/>
      <c r="F103" s="41"/>
    </row>
    <row r="104" spans="2:6" x14ac:dyDescent="0.2">
      <c r="B104" s="1"/>
      <c r="C104" s="1"/>
      <c r="F104" s="41"/>
    </row>
    <row r="105" spans="2:6" x14ac:dyDescent="0.2">
      <c r="B105" s="1"/>
      <c r="C105" s="1"/>
      <c r="F105" s="41"/>
    </row>
    <row r="106" spans="2:6" x14ac:dyDescent="0.2">
      <c r="B106" s="1"/>
      <c r="C106" s="1"/>
      <c r="F106" s="41"/>
    </row>
    <row r="107" spans="2:6" x14ac:dyDescent="0.2">
      <c r="B107" s="1"/>
      <c r="C107" s="1"/>
      <c r="F107" s="41"/>
    </row>
    <row r="108" spans="2:6" x14ac:dyDescent="0.2">
      <c r="B108" s="1"/>
      <c r="C108" s="1"/>
      <c r="F108" s="41"/>
    </row>
    <row r="109" spans="2:6" x14ac:dyDescent="0.2">
      <c r="B109" s="1"/>
      <c r="C109" s="1"/>
      <c r="F109" s="41"/>
    </row>
    <row r="110" spans="2:6" x14ac:dyDescent="0.2">
      <c r="B110" s="1"/>
      <c r="C110" s="1"/>
      <c r="F110" s="41"/>
    </row>
    <row r="111" spans="2:6" x14ac:dyDescent="0.2">
      <c r="B111" s="1"/>
      <c r="C111" s="1"/>
      <c r="F111" s="41"/>
    </row>
    <row r="112" spans="2:6" x14ac:dyDescent="0.2">
      <c r="B112" s="1"/>
      <c r="C112" s="1"/>
      <c r="F112" s="41"/>
    </row>
    <row r="113" spans="2:6" x14ac:dyDescent="0.2">
      <c r="B113" s="1"/>
      <c r="C113" s="1"/>
      <c r="F113" s="41"/>
    </row>
    <row r="114" spans="2:6" x14ac:dyDescent="0.2">
      <c r="B114" s="1"/>
      <c r="C114" s="1"/>
      <c r="F114" s="41"/>
    </row>
    <row r="115" spans="2:6" x14ac:dyDescent="0.2">
      <c r="B115" s="1"/>
      <c r="C115" s="1"/>
      <c r="F115" s="41"/>
    </row>
    <row r="116" spans="2:6" x14ac:dyDescent="0.2">
      <c r="B116" s="1"/>
      <c r="C116" s="1"/>
      <c r="F116" s="41"/>
    </row>
    <row r="117" spans="2:6" x14ac:dyDescent="0.2">
      <c r="B117" s="1"/>
      <c r="C117" s="1"/>
      <c r="F117" s="41"/>
    </row>
    <row r="118" spans="2:6" x14ac:dyDescent="0.2">
      <c r="B118" s="1"/>
      <c r="C118" s="1"/>
      <c r="F118" s="41"/>
    </row>
    <row r="119" spans="2:6" x14ac:dyDescent="0.2">
      <c r="B119" s="1"/>
      <c r="C119" s="1"/>
      <c r="F119" s="41"/>
    </row>
    <row r="120" spans="2:6" x14ac:dyDescent="0.2">
      <c r="B120" s="1"/>
      <c r="C120" s="1"/>
      <c r="F120" s="41"/>
    </row>
    <row r="121" spans="2:6" x14ac:dyDescent="0.2">
      <c r="B121" s="1"/>
      <c r="C121" s="1"/>
      <c r="F121" s="41"/>
    </row>
    <row r="122" spans="2:6" x14ac:dyDescent="0.2">
      <c r="B122" s="1"/>
      <c r="C122" s="1"/>
      <c r="F122" s="41"/>
    </row>
    <row r="123" spans="2:6" x14ac:dyDescent="0.2">
      <c r="B123" s="1"/>
      <c r="C123" s="1"/>
      <c r="F123" s="41"/>
    </row>
    <row r="124" spans="2:6" x14ac:dyDescent="0.2">
      <c r="B124" s="1"/>
      <c r="C124" s="1"/>
      <c r="F124" s="41"/>
    </row>
    <row r="125" spans="2:6" x14ac:dyDescent="0.2">
      <c r="B125" s="1"/>
      <c r="C125" s="1"/>
      <c r="F125" s="41"/>
    </row>
    <row r="126" spans="2:6" x14ac:dyDescent="0.2">
      <c r="B126" s="1"/>
      <c r="C126" s="1"/>
      <c r="F126" s="41"/>
    </row>
    <row r="127" spans="2:6" x14ac:dyDescent="0.2">
      <c r="B127" s="1"/>
      <c r="C127" s="1"/>
      <c r="F127" s="41"/>
    </row>
    <row r="128" spans="2:6" x14ac:dyDescent="0.2">
      <c r="B128" s="1"/>
      <c r="C128" s="1"/>
      <c r="F128" s="41"/>
    </row>
    <row r="129" spans="2:6" x14ac:dyDescent="0.2">
      <c r="B129" s="1"/>
      <c r="C129" s="1"/>
      <c r="F129" s="41"/>
    </row>
    <row r="130" spans="2:6" x14ac:dyDescent="0.2">
      <c r="B130" s="1"/>
      <c r="C130" s="1"/>
      <c r="F130" s="41"/>
    </row>
    <row r="131" spans="2:6" x14ac:dyDescent="0.2">
      <c r="B131" s="1"/>
      <c r="C131" s="1"/>
      <c r="F131" s="41"/>
    </row>
    <row r="132" spans="2:6" x14ac:dyDescent="0.2">
      <c r="B132" s="1"/>
      <c r="C132" s="1"/>
      <c r="F132" s="41"/>
    </row>
    <row r="133" spans="2:6" x14ac:dyDescent="0.2">
      <c r="B133" s="1"/>
      <c r="C133" s="1"/>
      <c r="F133" s="41"/>
    </row>
    <row r="134" spans="2:6" x14ac:dyDescent="0.2">
      <c r="B134" s="1"/>
      <c r="C134" s="1"/>
      <c r="F134" s="41"/>
    </row>
    <row r="135" spans="2:6" x14ac:dyDescent="0.2">
      <c r="B135" s="1"/>
      <c r="C135" s="1"/>
      <c r="F135" s="41"/>
    </row>
    <row r="136" spans="2:6" x14ac:dyDescent="0.2">
      <c r="B136" s="1"/>
      <c r="C136" s="1"/>
      <c r="F136" s="41"/>
    </row>
    <row r="137" spans="2:6" x14ac:dyDescent="0.2">
      <c r="B137" s="1"/>
      <c r="C137" s="1"/>
      <c r="F137" s="41"/>
    </row>
    <row r="138" spans="2:6" x14ac:dyDescent="0.2">
      <c r="B138" s="1"/>
      <c r="C138" s="1"/>
      <c r="F138" s="41"/>
    </row>
    <row r="139" spans="2:6" x14ac:dyDescent="0.2">
      <c r="B139" s="1"/>
      <c r="C139" s="1"/>
      <c r="F139" s="41"/>
    </row>
    <row r="140" spans="2:6" x14ac:dyDescent="0.2">
      <c r="B140" s="1"/>
      <c r="C140" s="1"/>
      <c r="F140" s="41"/>
    </row>
  </sheetData>
  <phoneticPr fontId="10" type="noConversion"/>
  <pageMargins left="0.47" right="0.17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workbookViewId="0">
      <pane ySplit="4" topLeftCell="A5" activePane="bottomLeft" state="frozen"/>
      <selection pane="bottomLeft"/>
    </sheetView>
  </sheetViews>
  <sheetFormatPr defaultRowHeight="12.75" x14ac:dyDescent="0.2"/>
  <cols>
    <col min="1" max="2" width="8.85546875" style="226"/>
    <col min="3" max="3" width="45.28515625" style="226" customWidth="1"/>
    <col min="4" max="4" width="10.140625" style="226" customWidth="1"/>
    <col min="5" max="5" width="10.7109375" style="226" customWidth="1"/>
    <col min="6" max="6" width="9.85546875" style="226" customWidth="1"/>
  </cols>
  <sheetData>
    <row r="1" spans="1:6" ht="15" x14ac:dyDescent="0.25">
      <c r="B1" s="227"/>
      <c r="C1" s="227"/>
      <c r="D1" s="228"/>
      <c r="E1" s="228"/>
      <c r="F1" s="43" t="s">
        <v>1014</v>
      </c>
    </row>
    <row r="2" spans="1:6" ht="15" x14ac:dyDescent="0.25">
      <c r="B2" s="227"/>
      <c r="C2" s="227"/>
      <c r="D2" s="229"/>
      <c r="E2" s="222"/>
      <c r="F2" s="44" t="s">
        <v>107</v>
      </c>
    </row>
    <row r="3" spans="1:6" ht="15" x14ac:dyDescent="0.25">
      <c r="B3" s="227"/>
      <c r="C3" s="227"/>
      <c r="D3" s="229"/>
      <c r="E3" s="229"/>
      <c r="F3" s="45" t="s">
        <v>109</v>
      </c>
    </row>
    <row r="4" spans="1:6" ht="38.25" x14ac:dyDescent="0.2">
      <c r="A4" s="223" t="s">
        <v>119</v>
      </c>
      <c r="B4" s="224" t="s">
        <v>120</v>
      </c>
      <c r="C4" s="224" t="s">
        <v>121</v>
      </c>
      <c r="D4" s="225" t="s">
        <v>1017</v>
      </c>
      <c r="E4" s="225" t="s">
        <v>108</v>
      </c>
      <c r="F4" s="225" t="s">
        <v>1016</v>
      </c>
    </row>
    <row r="5" spans="1:6" x14ac:dyDescent="0.2">
      <c r="A5" s="239"/>
      <c r="B5" s="240"/>
      <c r="C5" s="241" t="s">
        <v>1015</v>
      </c>
      <c r="D5" s="225">
        <v>16402544.389</v>
      </c>
      <c r="E5" s="225">
        <v>2868601.64</v>
      </c>
      <c r="F5" s="225">
        <v>19271146.029000003</v>
      </c>
    </row>
    <row r="6" spans="1:6" x14ac:dyDescent="0.2">
      <c r="A6" s="230" t="s">
        <v>62</v>
      </c>
      <c r="B6" s="231"/>
      <c r="C6" s="231" t="s">
        <v>125</v>
      </c>
      <c r="D6" s="228">
        <v>1273970</v>
      </c>
      <c r="E6" s="228">
        <v>109850</v>
      </c>
      <c r="F6" s="228">
        <v>1383820</v>
      </c>
    </row>
    <row r="7" spans="1:6" x14ac:dyDescent="0.2">
      <c r="A7" s="230" t="s">
        <v>63</v>
      </c>
      <c r="B7" s="231"/>
      <c r="C7" s="231" t="s">
        <v>126</v>
      </c>
      <c r="D7" s="228">
        <v>109077</v>
      </c>
      <c r="E7" s="228">
        <v>500</v>
      </c>
      <c r="F7" s="228">
        <v>109577</v>
      </c>
    </row>
    <row r="8" spans="1:6" x14ac:dyDescent="0.2">
      <c r="A8" s="232" t="s">
        <v>63</v>
      </c>
      <c r="B8" s="227" t="s">
        <v>133</v>
      </c>
      <c r="C8" s="227" t="s">
        <v>134</v>
      </c>
      <c r="D8" s="150">
        <v>109077</v>
      </c>
      <c r="E8" s="150">
        <v>500</v>
      </c>
      <c r="F8" s="150">
        <v>109577</v>
      </c>
    </row>
    <row r="9" spans="1:6" x14ac:dyDescent="0.2">
      <c r="A9" s="230" t="s">
        <v>64</v>
      </c>
      <c r="B9" s="231"/>
      <c r="C9" s="231" t="s">
        <v>160</v>
      </c>
      <c r="D9" s="228">
        <v>619780</v>
      </c>
      <c r="E9" s="228">
        <v>107100</v>
      </c>
      <c r="F9" s="228">
        <v>726880</v>
      </c>
    </row>
    <row r="10" spans="1:6" x14ac:dyDescent="0.2">
      <c r="A10" s="232" t="s">
        <v>64</v>
      </c>
      <c r="B10" s="227" t="s">
        <v>127</v>
      </c>
      <c r="C10" s="227" t="s">
        <v>128</v>
      </c>
      <c r="D10" s="150">
        <v>0</v>
      </c>
      <c r="E10" s="150">
        <v>100000</v>
      </c>
      <c r="F10" s="150">
        <v>100000</v>
      </c>
    </row>
    <row r="11" spans="1:6" x14ac:dyDescent="0.2">
      <c r="A11" s="232" t="s">
        <v>64</v>
      </c>
      <c r="B11" s="227" t="s">
        <v>133</v>
      </c>
      <c r="C11" s="227" t="s">
        <v>134</v>
      </c>
      <c r="D11" s="150">
        <v>617780</v>
      </c>
      <c r="E11" s="150">
        <v>6000</v>
      </c>
      <c r="F11" s="150">
        <v>623780</v>
      </c>
    </row>
    <row r="12" spans="1:6" x14ac:dyDescent="0.2">
      <c r="A12" s="232" t="s">
        <v>64</v>
      </c>
      <c r="B12" s="227" t="s">
        <v>201</v>
      </c>
      <c r="C12" s="227" t="s">
        <v>33</v>
      </c>
      <c r="D12" s="150">
        <v>2000</v>
      </c>
      <c r="E12" s="150">
        <v>1100</v>
      </c>
      <c r="F12" s="150">
        <v>3100</v>
      </c>
    </row>
    <row r="13" spans="1:6" x14ac:dyDescent="0.2">
      <c r="A13" s="230" t="s">
        <v>65</v>
      </c>
      <c r="B13" s="231"/>
      <c r="C13" s="231" t="s">
        <v>211</v>
      </c>
      <c r="D13" s="228">
        <v>45000</v>
      </c>
      <c r="E13" s="228">
        <v>0</v>
      </c>
      <c r="F13" s="228">
        <v>45000</v>
      </c>
    </row>
    <row r="14" spans="1:6" x14ac:dyDescent="0.2">
      <c r="A14" s="232" t="s">
        <v>65</v>
      </c>
      <c r="B14" s="227" t="s">
        <v>201</v>
      </c>
      <c r="C14" s="227" t="s">
        <v>33</v>
      </c>
      <c r="D14" s="150">
        <v>45000</v>
      </c>
      <c r="E14" s="150">
        <v>0</v>
      </c>
      <c r="F14" s="150">
        <v>45000</v>
      </c>
    </row>
    <row r="15" spans="1:6" x14ac:dyDescent="0.2">
      <c r="A15" s="230" t="s">
        <v>213</v>
      </c>
      <c r="B15" s="231"/>
      <c r="C15" s="231" t="s">
        <v>214</v>
      </c>
      <c r="D15" s="228">
        <v>150042</v>
      </c>
      <c r="E15" s="228">
        <v>600</v>
      </c>
      <c r="F15" s="228">
        <v>150642</v>
      </c>
    </row>
    <row r="16" spans="1:6" x14ac:dyDescent="0.2">
      <c r="A16" s="232" t="s">
        <v>213</v>
      </c>
      <c r="B16" s="227" t="s">
        <v>133</v>
      </c>
      <c r="C16" s="227" t="s">
        <v>134</v>
      </c>
      <c r="D16" s="150">
        <v>150042</v>
      </c>
      <c r="E16" s="150">
        <v>600</v>
      </c>
      <c r="F16" s="150">
        <v>150642</v>
      </c>
    </row>
    <row r="17" spans="1:6" x14ac:dyDescent="0.2">
      <c r="A17" s="230" t="s">
        <v>217</v>
      </c>
      <c r="B17" s="231"/>
      <c r="C17" s="231" t="s">
        <v>218</v>
      </c>
      <c r="D17" s="228">
        <v>180151</v>
      </c>
      <c r="E17" s="228">
        <v>600</v>
      </c>
      <c r="F17" s="228">
        <v>180751</v>
      </c>
    </row>
    <row r="18" spans="1:6" x14ac:dyDescent="0.2">
      <c r="A18" s="232" t="s">
        <v>217</v>
      </c>
      <c r="B18" s="227" t="s">
        <v>166</v>
      </c>
      <c r="C18" s="227" t="s">
        <v>167</v>
      </c>
      <c r="D18" s="150">
        <v>4530</v>
      </c>
      <c r="E18" s="150">
        <v>0</v>
      </c>
      <c r="F18" s="150">
        <v>4530</v>
      </c>
    </row>
    <row r="19" spans="1:6" x14ac:dyDescent="0.2">
      <c r="A19" s="232" t="s">
        <v>217</v>
      </c>
      <c r="B19" s="227" t="s">
        <v>133</v>
      </c>
      <c r="C19" s="227" t="s">
        <v>134</v>
      </c>
      <c r="D19" s="150">
        <v>175621</v>
      </c>
      <c r="E19" s="150">
        <v>600</v>
      </c>
      <c r="F19" s="150">
        <v>176221</v>
      </c>
    </row>
    <row r="20" spans="1:6" x14ac:dyDescent="0.2">
      <c r="A20" s="230" t="s">
        <v>67</v>
      </c>
      <c r="B20" s="231"/>
      <c r="C20" s="231" t="s">
        <v>225</v>
      </c>
      <c r="D20" s="228">
        <v>17000</v>
      </c>
      <c r="E20" s="228">
        <v>50</v>
      </c>
      <c r="F20" s="228">
        <v>17050</v>
      </c>
    </row>
    <row r="21" spans="1:6" x14ac:dyDescent="0.2">
      <c r="A21" s="232" t="s">
        <v>67</v>
      </c>
      <c r="B21" s="227" t="s">
        <v>133</v>
      </c>
      <c r="C21" s="227" t="s">
        <v>134</v>
      </c>
      <c r="D21" s="150">
        <v>17000</v>
      </c>
      <c r="E21" s="150">
        <v>50</v>
      </c>
      <c r="F21" s="150">
        <v>17050</v>
      </c>
    </row>
    <row r="22" spans="1:6" x14ac:dyDescent="0.2">
      <c r="A22" s="230" t="s">
        <v>68</v>
      </c>
      <c r="B22" s="231"/>
      <c r="C22" s="231" t="s">
        <v>69</v>
      </c>
      <c r="D22" s="228">
        <v>130000</v>
      </c>
      <c r="E22" s="228">
        <v>0</v>
      </c>
      <c r="F22" s="228">
        <v>130000</v>
      </c>
    </row>
    <row r="23" spans="1:6" x14ac:dyDescent="0.2">
      <c r="A23" s="232" t="s">
        <v>68</v>
      </c>
      <c r="B23" s="227" t="s">
        <v>201</v>
      </c>
      <c r="C23" s="227" t="s">
        <v>33</v>
      </c>
      <c r="D23" s="150">
        <v>130000</v>
      </c>
      <c r="E23" s="150">
        <v>0</v>
      </c>
      <c r="F23" s="150">
        <v>130000</v>
      </c>
    </row>
    <row r="24" spans="1:6" x14ac:dyDescent="0.2">
      <c r="A24" s="230" t="s">
        <v>230</v>
      </c>
      <c r="B24" s="231"/>
      <c r="C24" s="231" t="s">
        <v>231</v>
      </c>
      <c r="D24" s="228">
        <v>22920</v>
      </c>
      <c r="E24" s="228">
        <v>1000</v>
      </c>
      <c r="F24" s="228">
        <v>23920</v>
      </c>
    </row>
    <row r="25" spans="1:6" x14ac:dyDescent="0.2">
      <c r="A25" s="232" t="s">
        <v>230</v>
      </c>
      <c r="B25" s="227" t="s">
        <v>166</v>
      </c>
      <c r="C25" s="227" t="s">
        <v>167</v>
      </c>
      <c r="D25" s="150">
        <v>22920</v>
      </c>
      <c r="E25" s="150">
        <v>1000</v>
      </c>
      <c r="F25" s="150">
        <v>23920</v>
      </c>
    </row>
    <row r="26" spans="1:6" x14ac:dyDescent="0.2">
      <c r="A26" s="230" t="s">
        <v>70</v>
      </c>
      <c r="B26" s="231"/>
      <c r="C26" s="231" t="s">
        <v>236</v>
      </c>
      <c r="D26" s="228">
        <v>10000</v>
      </c>
      <c r="E26" s="228">
        <v>50</v>
      </c>
      <c r="F26" s="228">
        <v>10050</v>
      </c>
    </row>
    <row r="27" spans="1:6" x14ac:dyDescent="0.2">
      <c r="A27" s="230" t="s">
        <v>237</v>
      </c>
      <c r="B27" s="231"/>
      <c r="C27" s="231" t="s">
        <v>238</v>
      </c>
      <c r="D27" s="228">
        <v>10000</v>
      </c>
      <c r="E27" s="228">
        <v>50</v>
      </c>
      <c r="F27" s="228">
        <v>10050</v>
      </c>
    </row>
    <row r="28" spans="1:6" x14ac:dyDescent="0.2">
      <c r="A28" s="232" t="s">
        <v>237</v>
      </c>
      <c r="B28" s="227" t="s">
        <v>133</v>
      </c>
      <c r="C28" s="227" t="s">
        <v>134</v>
      </c>
      <c r="D28" s="150">
        <v>10000</v>
      </c>
      <c r="E28" s="150">
        <v>50</v>
      </c>
      <c r="F28" s="150">
        <v>10050</v>
      </c>
    </row>
    <row r="29" spans="1:6" x14ac:dyDescent="0.2">
      <c r="A29" s="230" t="s">
        <v>71</v>
      </c>
      <c r="B29" s="231"/>
      <c r="C29" s="231" t="s">
        <v>239</v>
      </c>
      <c r="D29" s="228">
        <v>1286932</v>
      </c>
      <c r="E29" s="228">
        <v>770205.78</v>
      </c>
      <c r="F29" s="228">
        <v>2057137.78</v>
      </c>
    </row>
    <row r="30" spans="1:6" x14ac:dyDescent="0.2">
      <c r="A30" s="230" t="s">
        <v>72</v>
      </c>
      <c r="B30" s="231"/>
      <c r="C30" s="231" t="s">
        <v>240</v>
      </c>
      <c r="D30" s="228">
        <v>320</v>
      </c>
      <c r="E30" s="228">
        <v>0</v>
      </c>
      <c r="F30" s="228">
        <v>320</v>
      </c>
    </row>
    <row r="31" spans="1:6" x14ac:dyDescent="0.2">
      <c r="A31" s="232" t="s">
        <v>72</v>
      </c>
      <c r="B31" s="227" t="s">
        <v>133</v>
      </c>
      <c r="C31" s="227" t="s">
        <v>134</v>
      </c>
      <c r="D31" s="150">
        <v>320</v>
      </c>
      <c r="E31" s="150">
        <v>0</v>
      </c>
      <c r="F31" s="150">
        <v>320</v>
      </c>
    </row>
    <row r="32" spans="1:6" x14ac:dyDescent="0.2">
      <c r="A32" s="230" t="s">
        <v>73</v>
      </c>
      <c r="B32" s="231"/>
      <c r="C32" s="231" t="s">
        <v>74</v>
      </c>
      <c r="D32" s="228">
        <v>5800</v>
      </c>
      <c r="E32" s="228">
        <v>0</v>
      </c>
      <c r="F32" s="228">
        <v>5800</v>
      </c>
    </row>
    <row r="33" spans="1:6" x14ac:dyDescent="0.2">
      <c r="A33" s="232" t="s">
        <v>73</v>
      </c>
      <c r="B33" s="227" t="s">
        <v>133</v>
      </c>
      <c r="C33" s="227" t="s">
        <v>134</v>
      </c>
      <c r="D33" s="150">
        <v>5800</v>
      </c>
      <c r="E33" s="150">
        <v>0</v>
      </c>
      <c r="F33" s="150">
        <v>5800</v>
      </c>
    </row>
    <row r="34" spans="1:6" x14ac:dyDescent="0.2">
      <c r="A34" s="230" t="s">
        <v>243</v>
      </c>
      <c r="B34" s="231"/>
      <c r="C34" s="231" t="s">
        <v>244</v>
      </c>
      <c r="D34" s="228">
        <v>581818</v>
      </c>
      <c r="E34" s="228">
        <v>862290.78</v>
      </c>
      <c r="F34" s="228">
        <v>1444108.78</v>
      </c>
    </row>
    <row r="35" spans="1:6" x14ac:dyDescent="0.2">
      <c r="A35" s="232" t="s">
        <v>243</v>
      </c>
      <c r="B35" s="227" t="s">
        <v>127</v>
      </c>
      <c r="C35" s="227" t="s">
        <v>128</v>
      </c>
      <c r="D35" s="150">
        <v>325118</v>
      </c>
      <c r="E35" s="150">
        <v>1118990.78</v>
      </c>
      <c r="F35" s="150">
        <v>1444108.78</v>
      </c>
    </row>
    <row r="36" spans="1:6" x14ac:dyDescent="0.2">
      <c r="A36" s="232" t="s">
        <v>243</v>
      </c>
      <c r="B36" s="227" t="s">
        <v>133</v>
      </c>
      <c r="C36" s="227" t="s">
        <v>134</v>
      </c>
      <c r="D36" s="150">
        <v>256700</v>
      </c>
      <c r="E36" s="150">
        <v>-256700</v>
      </c>
      <c r="F36" s="150">
        <v>0</v>
      </c>
    </row>
    <row r="37" spans="1:6" x14ac:dyDescent="0.2">
      <c r="A37" s="230" t="s">
        <v>250</v>
      </c>
      <c r="B37" s="231"/>
      <c r="C37" s="231" t="s">
        <v>251</v>
      </c>
      <c r="D37" s="228">
        <v>115000</v>
      </c>
      <c r="E37" s="228">
        <v>-115000</v>
      </c>
      <c r="F37" s="228">
        <v>0</v>
      </c>
    </row>
    <row r="38" spans="1:6" x14ac:dyDescent="0.2">
      <c r="A38" s="232" t="s">
        <v>250</v>
      </c>
      <c r="B38" s="227" t="s">
        <v>133</v>
      </c>
      <c r="C38" s="227" t="s">
        <v>134</v>
      </c>
      <c r="D38" s="150">
        <v>115000</v>
      </c>
      <c r="E38" s="150">
        <v>0</v>
      </c>
      <c r="F38" s="150">
        <v>0</v>
      </c>
    </row>
    <row r="39" spans="1:6" x14ac:dyDescent="0.2">
      <c r="A39" s="230" t="s">
        <v>254</v>
      </c>
      <c r="B39" s="231"/>
      <c r="C39" s="231" t="s">
        <v>255</v>
      </c>
      <c r="D39" s="228">
        <v>54300</v>
      </c>
      <c r="E39" s="228">
        <v>5000</v>
      </c>
      <c r="F39" s="228">
        <v>59300</v>
      </c>
    </row>
    <row r="40" spans="1:6" x14ac:dyDescent="0.2">
      <c r="A40" s="232" t="s">
        <v>254</v>
      </c>
      <c r="B40" s="227" t="s">
        <v>133</v>
      </c>
      <c r="C40" s="227" t="s">
        <v>134</v>
      </c>
      <c r="D40" s="150">
        <v>54300</v>
      </c>
      <c r="E40" s="150">
        <v>5000</v>
      </c>
      <c r="F40" s="150">
        <v>59300</v>
      </c>
    </row>
    <row r="41" spans="1:6" x14ac:dyDescent="0.2">
      <c r="A41" s="230" t="s">
        <v>76</v>
      </c>
      <c r="B41" s="231"/>
      <c r="C41" s="231" t="s">
        <v>257</v>
      </c>
      <c r="D41" s="228">
        <v>150000</v>
      </c>
      <c r="E41" s="228">
        <v>0</v>
      </c>
      <c r="F41" s="228">
        <v>150000</v>
      </c>
    </row>
    <row r="42" spans="1:6" x14ac:dyDescent="0.2">
      <c r="A42" s="232" t="s">
        <v>76</v>
      </c>
      <c r="B42" s="227" t="s">
        <v>166</v>
      </c>
      <c r="C42" s="227" t="s">
        <v>167</v>
      </c>
      <c r="D42" s="150">
        <v>150000</v>
      </c>
      <c r="E42" s="150">
        <v>0</v>
      </c>
      <c r="F42" s="150">
        <v>150000</v>
      </c>
    </row>
    <row r="43" spans="1:6" x14ac:dyDescent="0.2">
      <c r="A43" s="230" t="s">
        <v>258</v>
      </c>
      <c r="B43" s="231"/>
      <c r="C43" s="231" t="s">
        <v>259</v>
      </c>
      <c r="D43" s="228">
        <v>32600</v>
      </c>
      <c r="E43" s="228">
        <v>950</v>
      </c>
      <c r="F43" s="228">
        <v>33550</v>
      </c>
    </row>
    <row r="44" spans="1:6" x14ac:dyDescent="0.2">
      <c r="A44" s="232" t="s">
        <v>258</v>
      </c>
      <c r="B44" s="227" t="s">
        <v>133</v>
      </c>
      <c r="C44" s="227" t="s">
        <v>134</v>
      </c>
      <c r="D44" s="150">
        <v>32600</v>
      </c>
      <c r="E44" s="150">
        <v>950</v>
      </c>
      <c r="F44" s="150">
        <v>33550</v>
      </c>
    </row>
    <row r="45" spans="1:6" x14ac:dyDescent="0.2">
      <c r="A45" s="230" t="s">
        <v>261</v>
      </c>
      <c r="B45" s="231"/>
      <c r="C45" s="231" t="s">
        <v>262</v>
      </c>
      <c r="D45" s="228">
        <v>23400</v>
      </c>
      <c r="E45" s="228">
        <v>0</v>
      </c>
      <c r="F45" s="228">
        <v>23400</v>
      </c>
    </row>
    <row r="46" spans="1:6" x14ac:dyDescent="0.2">
      <c r="A46" s="232" t="s">
        <v>261</v>
      </c>
      <c r="B46" s="227" t="s">
        <v>133</v>
      </c>
      <c r="C46" s="227" t="s">
        <v>134</v>
      </c>
      <c r="D46" s="150">
        <v>23400</v>
      </c>
      <c r="E46" s="150">
        <v>0</v>
      </c>
      <c r="F46" s="150">
        <v>23400</v>
      </c>
    </row>
    <row r="47" spans="1:6" x14ac:dyDescent="0.2">
      <c r="A47" s="230" t="s">
        <v>263</v>
      </c>
      <c r="B47" s="231"/>
      <c r="C47" s="231" t="s">
        <v>264</v>
      </c>
      <c r="D47" s="228">
        <v>9000</v>
      </c>
      <c r="E47" s="228">
        <v>0</v>
      </c>
      <c r="F47" s="228">
        <v>9000</v>
      </c>
    </row>
    <row r="48" spans="1:6" x14ac:dyDescent="0.2">
      <c r="A48" s="232" t="s">
        <v>263</v>
      </c>
      <c r="B48" s="227" t="s">
        <v>133</v>
      </c>
      <c r="C48" s="227" t="s">
        <v>134</v>
      </c>
      <c r="D48" s="150">
        <v>9000</v>
      </c>
      <c r="E48" s="150">
        <v>0</v>
      </c>
      <c r="F48" s="150">
        <v>9000</v>
      </c>
    </row>
    <row r="49" spans="1:6" x14ac:dyDescent="0.2">
      <c r="A49" s="230" t="s">
        <v>265</v>
      </c>
      <c r="B49" s="231"/>
      <c r="C49" s="231" t="s">
        <v>266</v>
      </c>
      <c r="D49" s="228">
        <v>68400</v>
      </c>
      <c r="E49" s="228">
        <v>36000</v>
      </c>
      <c r="F49" s="228">
        <v>104400</v>
      </c>
    </row>
    <row r="50" spans="1:6" x14ac:dyDescent="0.2">
      <c r="A50" s="232" t="s">
        <v>265</v>
      </c>
      <c r="B50" s="227" t="s">
        <v>133</v>
      </c>
      <c r="C50" s="227" t="s">
        <v>134</v>
      </c>
      <c r="D50" s="150">
        <v>68400</v>
      </c>
      <c r="E50" s="150">
        <v>36000</v>
      </c>
      <c r="F50" s="150">
        <v>104400</v>
      </c>
    </row>
    <row r="51" spans="1:6" x14ac:dyDescent="0.2">
      <c r="A51" s="230" t="s">
        <v>77</v>
      </c>
      <c r="B51" s="231"/>
      <c r="C51" s="231" t="s">
        <v>275</v>
      </c>
      <c r="D51" s="228">
        <v>246294</v>
      </c>
      <c r="E51" s="228">
        <v>-19035</v>
      </c>
      <c r="F51" s="228">
        <v>227259</v>
      </c>
    </row>
    <row r="52" spans="1:6" x14ac:dyDescent="0.2">
      <c r="A52" s="230" t="s">
        <v>276</v>
      </c>
      <c r="B52" s="231"/>
      <c r="C52" s="231" t="s">
        <v>277</v>
      </c>
      <c r="D52" s="228">
        <v>23000</v>
      </c>
      <c r="E52" s="228">
        <v>-23000</v>
      </c>
      <c r="F52" s="228">
        <v>0</v>
      </c>
    </row>
    <row r="53" spans="1:6" x14ac:dyDescent="0.2">
      <c r="A53" s="232" t="s">
        <v>276</v>
      </c>
      <c r="B53" s="227" t="s">
        <v>133</v>
      </c>
      <c r="C53" s="227" t="s">
        <v>134</v>
      </c>
      <c r="D53" s="150">
        <v>23000</v>
      </c>
      <c r="E53" s="150">
        <v>-23000</v>
      </c>
      <c r="F53" s="150">
        <v>0</v>
      </c>
    </row>
    <row r="54" spans="1:6" x14ac:dyDescent="0.2">
      <c r="A54" s="230" t="s">
        <v>279</v>
      </c>
      <c r="B54" s="231"/>
      <c r="C54" s="231" t="s">
        <v>280</v>
      </c>
      <c r="D54" s="228">
        <v>223294</v>
      </c>
      <c r="E54" s="228">
        <v>3965</v>
      </c>
      <c r="F54" s="228">
        <v>227259</v>
      </c>
    </row>
    <row r="55" spans="1:6" x14ac:dyDescent="0.2">
      <c r="A55" s="232" t="s">
        <v>279</v>
      </c>
      <c r="B55" s="227" t="s">
        <v>133</v>
      </c>
      <c r="C55" s="227" t="s">
        <v>134</v>
      </c>
      <c r="D55" s="150">
        <v>223294</v>
      </c>
      <c r="E55" s="150">
        <v>3965</v>
      </c>
      <c r="F55" s="150">
        <v>227259</v>
      </c>
    </row>
    <row r="56" spans="1:6" x14ac:dyDescent="0.2">
      <c r="A56" s="230" t="s">
        <v>78</v>
      </c>
      <c r="B56" s="231"/>
      <c r="C56" s="231" t="s">
        <v>282</v>
      </c>
      <c r="D56" s="228">
        <v>272732</v>
      </c>
      <c r="E56" s="228">
        <v>762497.86</v>
      </c>
      <c r="F56" s="228">
        <v>1035229.86</v>
      </c>
    </row>
    <row r="57" spans="1:6" x14ac:dyDescent="0.2">
      <c r="A57" s="230" t="s">
        <v>79</v>
      </c>
      <c r="B57" s="231"/>
      <c r="C57" s="231" t="s">
        <v>283</v>
      </c>
      <c r="D57" s="228">
        <v>12000</v>
      </c>
      <c r="E57" s="228">
        <v>32043</v>
      </c>
      <c r="F57" s="228">
        <v>44043</v>
      </c>
    </row>
    <row r="58" spans="1:6" x14ac:dyDescent="0.2">
      <c r="A58" s="232" t="s">
        <v>79</v>
      </c>
      <c r="B58" s="227" t="s">
        <v>133</v>
      </c>
      <c r="C58" s="227" t="s">
        <v>134</v>
      </c>
      <c r="D58" s="150">
        <v>12000</v>
      </c>
      <c r="E58" s="150">
        <v>32043</v>
      </c>
      <c r="F58" s="150">
        <v>44043</v>
      </c>
    </row>
    <row r="59" spans="1:6" x14ac:dyDescent="0.2">
      <c r="A59" s="230" t="s">
        <v>285</v>
      </c>
      <c r="B59" s="231"/>
      <c r="C59" s="231" t="s">
        <v>286</v>
      </c>
      <c r="D59" s="228">
        <v>0</v>
      </c>
      <c r="E59" s="228">
        <v>271375</v>
      </c>
      <c r="F59" s="228">
        <v>271375</v>
      </c>
    </row>
    <row r="60" spans="1:6" x14ac:dyDescent="0.2">
      <c r="A60" s="232" t="s">
        <v>285</v>
      </c>
      <c r="B60" s="227" t="s">
        <v>133</v>
      </c>
      <c r="C60" s="227" t="s">
        <v>134</v>
      </c>
      <c r="D60" s="150">
        <v>0</v>
      </c>
      <c r="E60" s="150">
        <v>14675</v>
      </c>
      <c r="F60" s="150">
        <v>14675</v>
      </c>
    </row>
    <row r="61" spans="1:6" x14ac:dyDescent="0.2">
      <c r="A61" s="230" t="s">
        <v>288</v>
      </c>
      <c r="B61" s="231"/>
      <c r="C61" s="231" t="s">
        <v>289</v>
      </c>
      <c r="D61" s="228">
        <v>0</v>
      </c>
      <c r="E61" s="228">
        <v>96500</v>
      </c>
      <c r="F61" s="228">
        <v>96500</v>
      </c>
    </row>
    <row r="62" spans="1:6" x14ac:dyDescent="0.2">
      <c r="A62" s="233" t="s">
        <v>288</v>
      </c>
      <c r="B62" s="227" t="s">
        <v>133</v>
      </c>
      <c r="C62" s="227" t="s">
        <v>134</v>
      </c>
      <c r="D62" s="150">
        <v>0</v>
      </c>
      <c r="E62" s="150">
        <v>-13500</v>
      </c>
      <c r="F62" s="150">
        <v>-13500</v>
      </c>
    </row>
    <row r="63" spans="1:6" x14ac:dyDescent="0.2">
      <c r="A63" s="230" t="s">
        <v>80</v>
      </c>
      <c r="B63" s="231"/>
      <c r="C63" s="231" t="s">
        <v>81</v>
      </c>
      <c r="D63" s="228">
        <v>31000</v>
      </c>
      <c r="E63" s="228">
        <v>3000</v>
      </c>
      <c r="F63" s="228">
        <v>34000</v>
      </c>
    </row>
    <row r="64" spans="1:6" x14ac:dyDescent="0.2">
      <c r="A64" s="232" t="s">
        <v>80</v>
      </c>
      <c r="B64" s="227" t="s">
        <v>133</v>
      </c>
      <c r="C64" s="227" t="s">
        <v>134</v>
      </c>
      <c r="D64" s="150">
        <v>31000</v>
      </c>
      <c r="E64" s="150">
        <v>3000</v>
      </c>
      <c r="F64" s="150">
        <v>34000</v>
      </c>
    </row>
    <row r="65" spans="1:6" x14ac:dyDescent="0.2">
      <c r="A65" s="230" t="s">
        <v>82</v>
      </c>
      <c r="B65" s="231"/>
      <c r="C65" s="231" t="s">
        <v>292</v>
      </c>
      <c r="D65" s="228">
        <v>229732</v>
      </c>
      <c r="E65" s="228">
        <v>359579.86</v>
      </c>
      <c r="F65" s="228">
        <v>589311.86</v>
      </c>
    </row>
    <row r="66" spans="1:6" x14ac:dyDescent="0.2">
      <c r="A66" s="230" t="s">
        <v>293</v>
      </c>
      <c r="B66" s="231"/>
      <c r="C66" s="231" t="s">
        <v>1018</v>
      </c>
      <c r="D66" s="228">
        <v>229732</v>
      </c>
      <c r="E66" s="228">
        <v>36800</v>
      </c>
      <c r="F66" s="228">
        <v>266532</v>
      </c>
    </row>
    <row r="67" spans="1:6" x14ac:dyDescent="0.2">
      <c r="A67" s="233" t="s">
        <v>293</v>
      </c>
      <c r="B67" s="227" t="s">
        <v>133</v>
      </c>
      <c r="C67" s="227" t="s">
        <v>134</v>
      </c>
      <c r="D67" s="150">
        <v>229732</v>
      </c>
      <c r="E67" s="150">
        <v>36800</v>
      </c>
      <c r="F67" s="150">
        <v>266532</v>
      </c>
    </row>
    <row r="68" spans="1:6" x14ac:dyDescent="0.2">
      <c r="A68" s="230" t="s">
        <v>297</v>
      </c>
      <c r="B68" s="231"/>
      <c r="C68" s="231" t="s">
        <v>1013</v>
      </c>
      <c r="D68" s="228">
        <v>0</v>
      </c>
      <c r="E68" s="228">
        <v>322779.86</v>
      </c>
      <c r="F68" s="228">
        <v>322779.86</v>
      </c>
    </row>
    <row r="69" spans="1:6" x14ac:dyDescent="0.2">
      <c r="A69" s="233" t="s">
        <v>297</v>
      </c>
      <c r="B69" s="227" t="s">
        <v>127</v>
      </c>
      <c r="C69" s="227" t="s">
        <v>128</v>
      </c>
      <c r="D69" s="150">
        <v>0</v>
      </c>
      <c r="E69" s="150">
        <v>200000</v>
      </c>
      <c r="F69" s="150">
        <v>200000</v>
      </c>
    </row>
    <row r="70" spans="1:6" x14ac:dyDescent="0.2">
      <c r="A70" s="233" t="s">
        <v>297</v>
      </c>
      <c r="B70" s="227" t="s">
        <v>133</v>
      </c>
      <c r="C70" s="227" t="s">
        <v>134</v>
      </c>
      <c r="D70" s="150">
        <v>0</v>
      </c>
      <c r="E70" s="150">
        <v>122779.86</v>
      </c>
      <c r="F70" s="150">
        <v>122779.86</v>
      </c>
    </row>
    <row r="71" spans="1:6" x14ac:dyDescent="0.2">
      <c r="A71" s="230" t="s">
        <v>83</v>
      </c>
      <c r="B71" s="231"/>
      <c r="C71" s="231" t="s">
        <v>304</v>
      </c>
      <c r="D71" s="228">
        <v>440840</v>
      </c>
      <c r="E71" s="228">
        <v>130516</v>
      </c>
      <c r="F71" s="228">
        <v>571356</v>
      </c>
    </row>
    <row r="72" spans="1:6" x14ac:dyDescent="0.2">
      <c r="A72" s="230" t="s">
        <v>84</v>
      </c>
      <c r="B72" s="231"/>
      <c r="C72" s="231" t="s">
        <v>305</v>
      </c>
      <c r="D72" s="228">
        <v>12000</v>
      </c>
      <c r="E72" s="228">
        <v>0</v>
      </c>
      <c r="F72" s="228">
        <v>12000</v>
      </c>
    </row>
    <row r="73" spans="1:6" x14ac:dyDescent="0.2">
      <c r="A73" s="232" t="s">
        <v>84</v>
      </c>
      <c r="B73" s="227" t="s">
        <v>133</v>
      </c>
      <c r="C73" s="227" t="s">
        <v>134</v>
      </c>
      <c r="D73" s="150">
        <v>12000</v>
      </c>
      <c r="E73" s="150">
        <v>0</v>
      </c>
      <c r="F73" s="150">
        <v>12000</v>
      </c>
    </row>
    <row r="74" spans="1:6" x14ac:dyDescent="0.2">
      <c r="A74" s="230" t="s">
        <v>85</v>
      </c>
      <c r="B74" s="231"/>
      <c r="C74" s="231" t="s">
        <v>306</v>
      </c>
      <c r="D74" s="228">
        <v>10000</v>
      </c>
      <c r="E74" s="228">
        <v>0</v>
      </c>
      <c r="F74" s="228">
        <v>10000</v>
      </c>
    </row>
    <row r="75" spans="1:6" x14ac:dyDescent="0.2">
      <c r="A75" s="232" t="s">
        <v>85</v>
      </c>
      <c r="B75" s="227" t="s">
        <v>133</v>
      </c>
      <c r="C75" s="227" t="s">
        <v>134</v>
      </c>
      <c r="D75" s="150">
        <v>10000</v>
      </c>
      <c r="E75" s="150">
        <v>0</v>
      </c>
      <c r="F75" s="150">
        <v>10000</v>
      </c>
    </row>
    <row r="76" spans="1:6" x14ac:dyDescent="0.2">
      <c r="A76" s="230" t="s">
        <v>307</v>
      </c>
      <c r="B76" s="231"/>
      <c r="C76" s="231" t="s">
        <v>308</v>
      </c>
      <c r="D76" s="228">
        <v>140000</v>
      </c>
      <c r="E76" s="228">
        <v>20000</v>
      </c>
      <c r="F76" s="228">
        <v>160000</v>
      </c>
    </row>
    <row r="77" spans="1:6" x14ac:dyDescent="0.2">
      <c r="A77" s="232" t="s">
        <v>307</v>
      </c>
      <c r="B77" s="227" t="s">
        <v>133</v>
      </c>
      <c r="C77" s="227" t="s">
        <v>134</v>
      </c>
      <c r="D77" s="150">
        <v>140000</v>
      </c>
      <c r="E77" s="150">
        <v>20000</v>
      </c>
      <c r="F77" s="150">
        <v>160000</v>
      </c>
    </row>
    <row r="78" spans="1:6" x14ac:dyDescent="0.2">
      <c r="A78" s="230" t="s">
        <v>310</v>
      </c>
      <c r="B78" s="231"/>
      <c r="C78" s="231" t="s">
        <v>311</v>
      </c>
      <c r="D78" s="228">
        <v>102350</v>
      </c>
      <c r="E78" s="228">
        <v>10000</v>
      </c>
      <c r="F78" s="228">
        <v>112350</v>
      </c>
    </row>
    <row r="79" spans="1:6" x14ac:dyDescent="0.2">
      <c r="A79" s="232" t="s">
        <v>310</v>
      </c>
      <c r="B79" s="227" t="s">
        <v>133</v>
      </c>
      <c r="C79" s="227" t="s">
        <v>134</v>
      </c>
      <c r="D79" s="150">
        <v>102350</v>
      </c>
      <c r="E79" s="150">
        <v>10000</v>
      </c>
      <c r="F79" s="150">
        <v>112350</v>
      </c>
    </row>
    <row r="80" spans="1:6" x14ac:dyDescent="0.2">
      <c r="A80" s="230" t="s">
        <v>313</v>
      </c>
      <c r="B80" s="231"/>
      <c r="C80" s="231" t="s">
        <v>314</v>
      </c>
      <c r="D80" s="228">
        <v>28400</v>
      </c>
      <c r="E80" s="228">
        <v>15000</v>
      </c>
      <c r="F80" s="228">
        <v>43400</v>
      </c>
    </row>
    <row r="81" spans="1:6" x14ac:dyDescent="0.2">
      <c r="A81" s="232" t="s">
        <v>313</v>
      </c>
      <c r="B81" s="227" t="s">
        <v>133</v>
      </c>
      <c r="C81" s="227" t="s">
        <v>134</v>
      </c>
      <c r="D81" s="150">
        <v>28400</v>
      </c>
      <c r="E81" s="150">
        <v>15000</v>
      </c>
      <c r="F81" s="150">
        <v>43400</v>
      </c>
    </row>
    <row r="82" spans="1:6" x14ac:dyDescent="0.2">
      <c r="A82" s="230" t="s">
        <v>318</v>
      </c>
      <c r="B82" s="231"/>
      <c r="C82" s="231" t="s">
        <v>319</v>
      </c>
      <c r="D82" s="228">
        <v>53100</v>
      </c>
      <c r="E82" s="228">
        <v>0</v>
      </c>
      <c r="F82" s="228">
        <v>53100</v>
      </c>
    </row>
    <row r="83" spans="1:6" x14ac:dyDescent="0.2">
      <c r="A83" s="232" t="s">
        <v>318</v>
      </c>
      <c r="B83" s="227" t="s">
        <v>133</v>
      </c>
      <c r="C83" s="227" t="s">
        <v>134</v>
      </c>
      <c r="D83" s="150">
        <v>53100</v>
      </c>
      <c r="E83" s="150">
        <v>0</v>
      </c>
      <c r="F83" s="150">
        <v>53100</v>
      </c>
    </row>
    <row r="84" spans="1:6" x14ac:dyDescent="0.2">
      <c r="A84" s="230" t="s">
        <v>338</v>
      </c>
      <c r="B84" s="231"/>
      <c r="C84" s="231" t="s">
        <v>339</v>
      </c>
      <c r="D84" s="228">
        <v>60950</v>
      </c>
      <c r="E84" s="228">
        <v>79256</v>
      </c>
      <c r="F84" s="228">
        <v>140206</v>
      </c>
    </row>
    <row r="85" spans="1:6" x14ac:dyDescent="0.2">
      <c r="A85" s="232" t="s">
        <v>338</v>
      </c>
      <c r="B85" s="227" t="s">
        <v>127</v>
      </c>
      <c r="C85" s="227" t="s">
        <v>128</v>
      </c>
      <c r="D85" s="150">
        <v>0</v>
      </c>
      <c r="E85" s="150">
        <v>75754</v>
      </c>
      <c r="F85" s="150">
        <v>75754</v>
      </c>
    </row>
    <row r="86" spans="1:6" x14ac:dyDescent="0.2">
      <c r="A86" s="232" t="s">
        <v>338</v>
      </c>
      <c r="B86" s="227" t="s">
        <v>166</v>
      </c>
      <c r="C86" s="227" t="s">
        <v>167</v>
      </c>
      <c r="D86" s="150">
        <v>7712</v>
      </c>
      <c r="E86" s="150">
        <v>0</v>
      </c>
      <c r="F86" s="150">
        <v>7712</v>
      </c>
    </row>
    <row r="87" spans="1:6" x14ac:dyDescent="0.2">
      <c r="A87" s="232" t="s">
        <v>338</v>
      </c>
      <c r="B87" s="227" t="s">
        <v>133</v>
      </c>
      <c r="C87" s="227" t="s">
        <v>134</v>
      </c>
      <c r="D87" s="150">
        <v>53238</v>
      </c>
      <c r="E87" s="150">
        <v>3502</v>
      </c>
      <c r="F87" s="150">
        <v>56740</v>
      </c>
    </row>
    <row r="88" spans="1:6" x14ac:dyDescent="0.2">
      <c r="A88" s="230" t="s">
        <v>342</v>
      </c>
      <c r="B88" s="231"/>
      <c r="C88" s="231" t="s">
        <v>343</v>
      </c>
      <c r="D88" s="228">
        <v>34040</v>
      </c>
      <c r="E88" s="228">
        <v>6260</v>
      </c>
      <c r="F88" s="228">
        <v>40300</v>
      </c>
    </row>
    <row r="89" spans="1:6" x14ac:dyDescent="0.2">
      <c r="A89" s="232" t="s">
        <v>342</v>
      </c>
      <c r="B89" s="227" t="s">
        <v>166</v>
      </c>
      <c r="C89" s="227" t="s">
        <v>167</v>
      </c>
      <c r="D89" s="150">
        <v>29240</v>
      </c>
      <c r="E89" s="150">
        <v>6260</v>
      </c>
      <c r="F89" s="150">
        <v>35500</v>
      </c>
    </row>
    <row r="90" spans="1:6" x14ac:dyDescent="0.2">
      <c r="A90" s="232" t="s">
        <v>342</v>
      </c>
      <c r="B90" s="227" t="s">
        <v>133</v>
      </c>
      <c r="C90" s="227" t="s">
        <v>134</v>
      </c>
      <c r="D90" s="150">
        <v>4800</v>
      </c>
      <c r="E90" s="150">
        <v>0</v>
      </c>
      <c r="F90" s="150">
        <v>4800</v>
      </c>
    </row>
    <row r="91" spans="1:6" x14ac:dyDescent="0.2">
      <c r="A91" s="230" t="s">
        <v>86</v>
      </c>
      <c r="B91" s="231"/>
      <c r="C91" s="231" t="s">
        <v>345</v>
      </c>
      <c r="D91" s="228">
        <v>42800</v>
      </c>
      <c r="E91" s="228">
        <v>40000</v>
      </c>
      <c r="F91" s="228">
        <v>82800</v>
      </c>
    </row>
    <row r="92" spans="1:6" x14ac:dyDescent="0.2">
      <c r="A92" s="230" t="s">
        <v>346</v>
      </c>
      <c r="B92" s="231"/>
      <c r="C92" s="231" t="s">
        <v>347</v>
      </c>
      <c r="D92" s="228">
        <v>42800</v>
      </c>
      <c r="E92" s="228">
        <v>10000</v>
      </c>
      <c r="F92" s="228">
        <v>52800</v>
      </c>
    </row>
    <row r="93" spans="1:6" x14ac:dyDescent="0.2">
      <c r="A93" s="232" t="s">
        <v>346</v>
      </c>
      <c r="B93" s="227" t="s">
        <v>166</v>
      </c>
      <c r="C93" s="227" t="s">
        <v>167</v>
      </c>
      <c r="D93" s="150">
        <v>42800</v>
      </c>
      <c r="E93" s="150">
        <v>10000</v>
      </c>
      <c r="F93" s="150">
        <v>52800</v>
      </c>
    </row>
    <row r="94" spans="1:6" x14ac:dyDescent="0.2">
      <c r="A94" s="230" t="s">
        <v>87</v>
      </c>
      <c r="B94" s="231"/>
      <c r="C94" s="231" t="s">
        <v>349</v>
      </c>
      <c r="D94" s="228">
        <v>0</v>
      </c>
      <c r="E94" s="228">
        <v>30000</v>
      </c>
      <c r="F94" s="228">
        <v>30000</v>
      </c>
    </row>
    <row r="95" spans="1:6" x14ac:dyDescent="0.2">
      <c r="A95" s="232" t="s">
        <v>87</v>
      </c>
      <c r="B95" s="227" t="s">
        <v>133</v>
      </c>
      <c r="C95" s="227" t="s">
        <v>134</v>
      </c>
      <c r="D95" s="150">
        <v>0</v>
      </c>
      <c r="E95" s="150">
        <v>30000</v>
      </c>
      <c r="F95" s="150">
        <v>30000</v>
      </c>
    </row>
    <row r="96" spans="1:6" x14ac:dyDescent="0.2">
      <c r="A96" s="230" t="s">
        <v>88</v>
      </c>
      <c r="B96" s="231"/>
      <c r="C96" s="231" t="s">
        <v>351</v>
      </c>
      <c r="D96" s="228">
        <v>2769091.4</v>
      </c>
      <c r="E96" s="228">
        <v>-134505.85999999999</v>
      </c>
      <c r="F96" s="228">
        <v>2634585.54</v>
      </c>
    </row>
    <row r="97" spans="1:6" x14ac:dyDescent="0.2">
      <c r="A97" s="230" t="s">
        <v>352</v>
      </c>
      <c r="B97" s="231"/>
      <c r="C97" s="231" t="s">
        <v>353</v>
      </c>
      <c r="D97" s="228">
        <v>265424</v>
      </c>
      <c r="E97" s="228">
        <v>-265424</v>
      </c>
      <c r="F97" s="228">
        <v>0</v>
      </c>
    </row>
    <row r="98" spans="1:6" x14ac:dyDescent="0.2">
      <c r="A98" s="230" t="s">
        <v>355</v>
      </c>
      <c r="B98" s="231"/>
      <c r="C98" s="231" t="s">
        <v>356</v>
      </c>
      <c r="D98" s="228">
        <v>521407</v>
      </c>
      <c r="E98" s="228">
        <v>186200</v>
      </c>
      <c r="F98" s="228">
        <v>707607</v>
      </c>
    </row>
    <row r="99" spans="1:6" x14ac:dyDescent="0.2">
      <c r="A99" s="232" t="s">
        <v>355</v>
      </c>
      <c r="B99" s="227" t="s">
        <v>127</v>
      </c>
      <c r="C99" s="227" t="s">
        <v>128</v>
      </c>
      <c r="D99" s="150">
        <v>0</v>
      </c>
      <c r="E99" s="150">
        <v>178500</v>
      </c>
      <c r="F99" s="150">
        <v>178500</v>
      </c>
    </row>
    <row r="100" spans="1:6" x14ac:dyDescent="0.2">
      <c r="A100" s="232" t="s">
        <v>355</v>
      </c>
      <c r="B100" s="227" t="s">
        <v>133</v>
      </c>
      <c r="C100" s="227" t="s">
        <v>134</v>
      </c>
      <c r="D100" s="150">
        <v>518107</v>
      </c>
      <c r="E100" s="150">
        <v>7700</v>
      </c>
      <c r="F100" s="150">
        <v>525807</v>
      </c>
    </row>
    <row r="101" spans="1:6" x14ac:dyDescent="0.2">
      <c r="A101" s="232" t="s">
        <v>355</v>
      </c>
      <c r="B101" s="227" t="s">
        <v>201</v>
      </c>
      <c r="C101" s="227" t="s">
        <v>33</v>
      </c>
      <c r="D101" s="150">
        <v>300</v>
      </c>
      <c r="E101" s="150">
        <v>0</v>
      </c>
      <c r="F101" s="150">
        <v>300</v>
      </c>
    </row>
    <row r="102" spans="1:6" x14ac:dyDescent="0.2">
      <c r="A102" s="234">
        <v>810204</v>
      </c>
      <c r="B102" s="231"/>
      <c r="C102" s="231" t="s">
        <v>372</v>
      </c>
      <c r="D102" s="228">
        <v>160000</v>
      </c>
      <c r="E102" s="228">
        <v>0</v>
      </c>
      <c r="F102" s="228">
        <v>160000</v>
      </c>
    </row>
    <row r="103" spans="1:6" x14ac:dyDescent="0.2">
      <c r="A103" s="235">
        <v>810204</v>
      </c>
      <c r="B103" s="227" t="s">
        <v>133</v>
      </c>
      <c r="C103" s="227" t="s">
        <v>134</v>
      </c>
      <c r="D103" s="150">
        <v>160000</v>
      </c>
      <c r="E103" s="150">
        <v>0</v>
      </c>
      <c r="F103" s="150">
        <v>160000</v>
      </c>
    </row>
    <row r="104" spans="1:6" x14ac:dyDescent="0.2">
      <c r="A104" s="230" t="s">
        <v>373</v>
      </c>
      <c r="B104" s="231"/>
      <c r="C104" s="231" t="s">
        <v>374</v>
      </c>
      <c r="D104" s="228">
        <v>0</v>
      </c>
      <c r="E104" s="228">
        <v>5000</v>
      </c>
      <c r="F104" s="228">
        <v>91080</v>
      </c>
    </row>
    <row r="105" spans="1:6" x14ac:dyDescent="0.2">
      <c r="A105" s="232" t="s">
        <v>373</v>
      </c>
      <c r="B105" s="227" t="s">
        <v>166</v>
      </c>
      <c r="C105" s="227" t="s">
        <v>167</v>
      </c>
      <c r="D105" s="150">
        <v>0</v>
      </c>
      <c r="E105" s="150">
        <v>5000</v>
      </c>
      <c r="F105" s="150">
        <v>91080</v>
      </c>
    </row>
    <row r="106" spans="1:6" x14ac:dyDescent="0.2">
      <c r="A106" s="230" t="s">
        <v>376</v>
      </c>
      <c r="B106" s="231"/>
      <c r="C106" s="231" t="s">
        <v>377</v>
      </c>
      <c r="D106" s="228">
        <v>377073</v>
      </c>
      <c r="E106" s="228">
        <v>-377073</v>
      </c>
      <c r="F106" s="228">
        <v>0</v>
      </c>
    </row>
    <row r="107" spans="1:6" x14ac:dyDescent="0.2">
      <c r="A107" s="230" t="s">
        <v>379</v>
      </c>
      <c r="B107" s="231"/>
      <c r="C107" s="231" t="s">
        <v>380</v>
      </c>
      <c r="D107" s="228">
        <v>152850</v>
      </c>
      <c r="E107" s="228">
        <v>0</v>
      </c>
      <c r="F107" s="228">
        <v>152850</v>
      </c>
    </row>
    <row r="108" spans="1:6" x14ac:dyDescent="0.2">
      <c r="A108" s="232" t="s">
        <v>379</v>
      </c>
      <c r="B108" s="227" t="s">
        <v>133</v>
      </c>
      <c r="C108" s="227" t="s">
        <v>134</v>
      </c>
      <c r="D108" s="150">
        <v>152850</v>
      </c>
      <c r="E108" s="150">
        <v>0</v>
      </c>
      <c r="F108" s="150">
        <v>152850</v>
      </c>
    </row>
    <row r="109" spans="1:6" x14ac:dyDescent="0.2">
      <c r="A109" s="230" t="s">
        <v>383</v>
      </c>
      <c r="B109" s="231"/>
      <c r="C109" s="231" t="s">
        <v>384</v>
      </c>
      <c r="D109" s="228">
        <v>113876.4</v>
      </c>
      <c r="E109" s="228">
        <v>-1557</v>
      </c>
      <c r="F109" s="228">
        <v>112319.4</v>
      </c>
    </row>
    <row r="110" spans="1:6" x14ac:dyDescent="0.2">
      <c r="A110" s="232" t="s">
        <v>383</v>
      </c>
      <c r="B110" s="227" t="s">
        <v>166</v>
      </c>
      <c r="C110" s="227" t="s">
        <v>167</v>
      </c>
      <c r="D110" s="150">
        <v>3600</v>
      </c>
      <c r="E110" s="150">
        <v>-2000</v>
      </c>
      <c r="F110" s="150">
        <v>1600</v>
      </c>
    </row>
    <row r="111" spans="1:6" x14ac:dyDescent="0.2">
      <c r="A111" s="232" t="s">
        <v>383</v>
      </c>
      <c r="B111" s="227" t="s">
        <v>133</v>
      </c>
      <c r="C111" s="227" t="s">
        <v>134</v>
      </c>
      <c r="D111" s="150">
        <v>110276.4</v>
      </c>
      <c r="E111" s="150">
        <v>443</v>
      </c>
      <c r="F111" s="150">
        <v>110719.4</v>
      </c>
    </row>
    <row r="112" spans="1:6" x14ac:dyDescent="0.2">
      <c r="A112" s="230" t="s">
        <v>390</v>
      </c>
      <c r="B112" s="231"/>
      <c r="C112" s="231" t="s">
        <v>391</v>
      </c>
      <c r="D112" s="228">
        <v>31718</v>
      </c>
      <c r="E112" s="228">
        <v>100</v>
      </c>
      <c r="F112" s="228">
        <v>31818</v>
      </c>
    </row>
    <row r="113" spans="1:6" x14ac:dyDescent="0.2">
      <c r="A113" s="232" t="s">
        <v>390</v>
      </c>
      <c r="B113" s="227" t="s">
        <v>133</v>
      </c>
      <c r="C113" s="227" t="s">
        <v>134</v>
      </c>
      <c r="D113" s="150">
        <v>31718</v>
      </c>
      <c r="E113" s="150">
        <v>100</v>
      </c>
      <c r="F113" s="150">
        <v>31818</v>
      </c>
    </row>
    <row r="114" spans="1:6" x14ac:dyDescent="0.2">
      <c r="A114" s="230" t="s">
        <v>89</v>
      </c>
      <c r="B114" s="231"/>
      <c r="C114" s="231" t="s">
        <v>90</v>
      </c>
      <c r="D114" s="228">
        <v>209500</v>
      </c>
      <c r="E114" s="228">
        <v>0</v>
      </c>
      <c r="F114" s="228">
        <v>28426.5</v>
      </c>
    </row>
    <row r="115" spans="1:6" x14ac:dyDescent="0.2">
      <c r="A115" s="232" t="s">
        <v>89</v>
      </c>
      <c r="B115" s="227" t="s">
        <v>166</v>
      </c>
      <c r="C115" s="227" t="s">
        <v>167</v>
      </c>
      <c r="D115" s="150">
        <v>209500</v>
      </c>
      <c r="E115" s="150">
        <v>0</v>
      </c>
      <c r="F115" s="150">
        <v>28426.5</v>
      </c>
    </row>
    <row r="116" spans="1:6" x14ac:dyDescent="0.2">
      <c r="A116" s="230" t="s">
        <v>91</v>
      </c>
      <c r="B116" s="231"/>
      <c r="C116" s="231" t="s">
        <v>392</v>
      </c>
      <c r="D116" s="228">
        <v>744000</v>
      </c>
      <c r="E116" s="228">
        <v>37148.14</v>
      </c>
      <c r="F116" s="228">
        <v>781148.14</v>
      </c>
    </row>
    <row r="117" spans="1:6" x14ac:dyDescent="0.2">
      <c r="A117" s="232" t="s">
        <v>91</v>
      </c>
      <c r="B117" s="227" t="s">
        <v>127</v>
      </c>
      <c r="C117" s="227" t="s">
        <v>128</v>
      </c>
      <c r="D117" s="150">
        <v>0</v>
      </c>
      <c r="E117" s="150">
        <v>20000</v>
      </c>
      <c r="F117" s="150">
        <v>20000</v>
      </c>
    </row>
    <row r="118" spans="1:6" x14ac:dyDescent="0.2">
      <c r="A118" s="232" t="s">
        <v>91</v>
      </c>
      <c r="B118" s="227" t="s">
        <v>133</v>
      </c>
      <c r="C118" s="227" t="s">
        <v>134</v>
      </c>
      <c r="D118" s="150">
        <v>744000</v>
      </c>
      <c r="E118" s="150">
        <v>17148.14</v>
      </c>
      <c r="F118" s="150">
        <v>761148.14</v>
      </c>
    </row>
    <row r="119" spans="1:6" x14ac:dyDescent="0.2">
      <c r="A119" s="230" t="s">
        <v>413</v>
      </c>
      <c r="B119" s="231"/>
      <c r="C119" s="231" t="s">
        <v>414</v>
      </c>
      <c r="D119" s="228">
        <v>179743</v>
      </c>
      <c r="E119" s="228">
        <v>85100</v>
      </c>
      <c r="F119" s="228">
        <v>264843</v>
      </c>
    </row>
    <row r="120" spans="1:6" x14ac:dyDescent="0.2">
      <c r="A120" s="233" t="s">
        <v>413</v>
      </c>
      <c r="B120" s="227" t="s">
        <v>127</v>
      </c>
      <c r="C120" s="227" t="s">
        <v>128</v>
      </c>
      <c r="D120" s="150">
        <v>0</v>
      </c>
      <c r="E120" s="150">
        <v>33000</v>
      </c>
      <c r="F120" s="150">
        <v>33000</v>
      </c>
    </row>
    <row r="121" spans="1:6" x14ac:dyDescent="0.2">
      <c r="A121" s="233" t="s">
        <v>413</v>
      </c>
      <c r="B121" s="227" t="s">
        <v>133</v>
      </c>
      <c r="C121" s="227" t="s">
        <v>134</v>
      </c>
      <c r="D121" s="150">
        <v>179743</v>
      </c>
      <c r="E121" s="150">
        <v>52100</v>
      </c>
      <c r="F121" s="150">
        <v>231843</v>
      </c>
    </row>
    <row r="122" spans="1:6" x14ac:dyDescent="0.2">
      <c r="A122" s="230" t="s">
        <v>420</v>
      </c>
      <c r="B122" s="231"/>
      <c r="C122" s="231" t="s">
        <v>421</v>
      </c>
      <c r="D122" s="228">
        <v>0</v>
      </c>
      <c r="E122" s="228">
        <v>6000</v>
      </c>
      <c r="F122" s="228">
        <v>100993.5</v>
      </c>
    </row>
    <row r="123" spans="1:6" x14ac:dyDescent="0.2">
      <c r="A123" s="233" t="s">
        <v>420</v>
      </c>
      <c r="B123" s="227" t="s">
        <v>166</v>
      </c>
      <c r="C123" s="227" t="s">
        <v>167</v>
      </c>
      <c r="D123" s="150">
        <v>0</v>
      </c>
      <c r="E123" s="150">
        <v>6000</v>
      </c>
      <c r="F123" s="150">
        <v>100993.5</v>
      </c>
    </row>
    <row r="124" spans="1:6" x14ac:dyDescent="0.2">
      <c r="A124" s="230" t="s">
        <v>424</v>
      </c>
      <c r="B124" s="231"/>
      <c r="C124" s="231" t="s">
        <v>425</v>
      </c>
      <c r="D124" s="228">
        <v>10000</v>
      </c>
      <c r="E124" s="228">
        <v>0</v>
      </c>
      <c r="F124" s="228">
        <v>10000</v>
      </c>
    </row>
    <row r="125" spans="1:6" x14ac:dyDescent="0.2">
      <c r="A125" s="232" t="s">
        <v>424</v>
      </c>
      <c r="B125" s="227" t="s">
        <v>166</v>
      </c>
      <c r="C125" s="227" t="s">
        <v>167</v>
      </c>
      <c r="D125" s="150">
        <v>10000</v>
      </c>
      <c r="E125" s="150">
        <v>0</v>
      </c>
      <c r="F125" s="150">
        <v>10000</v>
      </c>
    </row>
    <row r="126" spans="1:6" x14ac:dyDescent="0.2">
      <c r="A126" s="230" t="s">
        <v>429</v>
      </c>
      <c r="B126" s="231"/>
      <c r="C126" s="231" t="s">
        <v>430</v>
      </c>
      <c r="D126" s="228">
        <v>0</v>
      </c>
      <c r="E126" s="228">
        <v>180000</v>
      </c>
      <c r="F126" s="228">
        <v>180000</v>
      </c>
    </row>
    <row r="127" spans="1:6" x14ac:dyDescent="0.2">
      <c r="A127" s="232" t="s">
        <v>429</v>
      </c>
      <c r="B127" s="227" t="s">
        <v>127</v>
      </c>
      <c r="C127" s="227" t="s">
        <v>128</v>
      </c>
      <c r="D127" s="150">
        <v>0</v>
      </c>
      <c r="E127" s="150">
        <v>180000</v>
      </c>
      <c r="F127" s="150">
        <v>180000</v>
      </c>
    </row>
    <row r="128" spans="1:6" x14ac:dyDescent="0.2">
      <c r="A128" s="230" t="s">
        <v>93</v>
      </c>
      <c r="B128" s="231"/>
      <c r="C128" s="231" t="s">
        <v>94</v>
      </c>
      <c r="D128" s="228">
        <v>3500</v>
      </c>
      <c r="E128" s="228">
        <v>0</v>
      </c>
      <c r="F128" s="228">
        <v>3500</v>
      </c>
    </row>
    <row r="129" spans="1:6" x14ac:dyDescent="0.2">
      <c r="A129" s="232" t="s">
        <v>93</v>
      </c>
      <c r="B129" s="227" t="s">
        <v>133</v>
      </c>
      <c r="C129" s="227" t="s">
        <v>134</v>
      </c>
      <c r="D129" s="150">
        <v>3500</v>
      </c>
      <c r="E129" s="150">
        <v>0</v>
      </c>
      <c r="F129" s="150">
        <v>3500</v>
      </c>
    </row>
    <row r="130" spans="1:6" x14ac:dyDescent="0.2">
      <c r="A130" s="230" t="s">
        <v>95</v>
      </c>
      <c r="B130" s="231"/>
      <c r="C130" s="231" t="s">
        <v>96</v>
      </c>
      <c r="D130" s="228">
        <v>0</v>
      </c>
      <c r="E130" s="228">
        <v>10000</v>
      </c>
      <c r="F130" s="228">
        <v>10000</v>
      </c>
    </row>
    <row r="131" spans="1:6" x14ac:dyDescent="0.2">
      <c r="A131" s="232" t="s">
        <v>95</v>
      </c>
      <c r="B131" s="227" t="s">
        <v>166</v>
      </c>
      <c r="C131" s="227" t="s">
        <v>167</v>
      </c>
      <c r="D131" s="150">
        <v>0</v>
      </c>
      <c r="E131" s="150">
        <v>10000</v>
      </c>
      <c r="F131" s="150">
        <v>10000</v>
      </c>
    </row>
    <row r="132" spans="1:6" x14ac:dyDescent="0.2">
      <c r="A132" s="230" t="s">
        <v>97</v>
      </c>
      <c r="B132" s="231"/>
      <c r="C132" s="231" t="s">
        <v>432</v>
      </c>
      <c r="D132" s="228">
        <v>8743795.9890000001</v>
      </c>
      <c r="E132" s="228">
        <v>958023.08000000007</v>
      </c>
      <c r="F132" s="228">
        <v>9701819.0690000001</v>
      </c>
    </row>
    <row r="133" spans="1:6" x14ac:dyDescent="0.2">
      <c r="A133" s="230" t="s">
        <v>98</v>
      </c>
      <c r="B133" s="231"/>
      <c r="C133" s="231" t="s">
        <v>433</v>
      </c>
      <c r="D133" s="228">
        <v>2616132.04</v>
      </c>
      <c r="E133" s="228">
        <v>106586</v>
      </c>
      <c r="F133" s="228">
        <v>2722718.04</v>
      </c>
    </row>
    <row r="134" spans="1:6" x14ac:dyDescent="0.2">
      <c r="A134" s="230" t="s">
        <v>434</v>
      </c>
      <c r="B134" s="231"/>
      <c r="C134" s="231" t="s">
        <v>435</v>
      </c>
      <c r="D134" s="228">
        <v>733226</v>
      </c>
      <c r="E134" s="228">
        <v>21301</v>
      </c>
      <c r="F134" s="228">
        <v>754527</v>
      </c>
    </row>
    <row r="135" spans="1:6" x14ac:dyDescent="0.2">
      <c r="A135" s="232" t="s">
        <v>434</v>
      </c>
      <c r="B135" s="227" t="s">
        <v>133</v>
      </c>
      <c r="C135" s="227" t="s">
        <v>134</v>
      </c>
      <c r="D135" s="150">
        <v>733226</v>
      </c>
      <c r="E135" s="150">
        <v>21301</v>
      </c>
      <c r="F135" s="150">
        <v>754527</v>
      </c>
    </row>
    <row r="136" spans="1:6" x14ac:dyDescent="0.2">
      <c r="A136" s="230" t="s">
        <v>446</v>
      </c>
      <c r="B136" s="231"/>
      <c r="C136" s="231" t="s">
        <v>447</v>
      </c>
      <c r="D136" s="228">
        <v>691344.92500000005</v>
      </c>
      <c r="E136" s="228">
        <v>11811</v>
      </c>
      <c r="F136" s="228">
        <v>703155.92500000005</v>
      </c>
    </row>
    <row r="137" spans="1:6" x14ac:dyDescent="0.2">
      <c r="A137" s="232" t="s">
        <v>446</v>
      </c>
      <c r="B137" s="227" t="s">
        <v>133</v>
      </c>
      <c r="C137" s="227" t="s">
        <v>134</v>
      </c>
      <c r="D137" s="150">
        <v>691344.92500000005</v>
      </c>
      <c r="E137" s="150">
        <v>11811</v>
      </c>
      <c r="F137" s="150">
        <v>703155.92500000005</v>
      </c>
    </row>
    <row r="138" spans="1:6" x14ac:dyDescent="0.2">
      <c r="A138" s="230" t="s">
        <v>450</v>
      </c>
      <c r="B138" s="231"/>
      <c r="C138" s="231" t="s">
        <v>453</v>
      </c>
      <c r="D138" s="228">
        <v>701517.11499999999</v>
      </c>
      <c r="E138" s="228">
        <v>18934</v>
      </c>
      <c r="F138" s="228">
        <v>720451.11499999999</v>
      </c>
    </row>
    <row r="139" spans="1:6" x14ac:dyDescent="0.2">
      <c r="A139" s="232" t="s">
        <v>450</v>
      </c>
      <c r="B139" s="227" t="s">
        <v>127</v>
      </c>
      <c r="C139" s="227" t="s">
        <v>128</v>
      </c>
      <c r="D139" s="150">
        <v>0</v>
      </c>
      <c r="E139" s="150">
        <v>47550</v>
      </c>
      <c r="F139" s="150">
        <v>47550</v>
      </c>
    </row>
    <row r="140" spans="1:6" x14ac:dyDescent="0.2">
      <c r="A140" s="232" t="s">
        <v>450</v>
      </c>
      <c r="B140" s="227" t="s">
        <v>133</v>
      </c>
      <c r="C140" s="227" t="s">
        <v>134</v>
      </c>
      <c r="D140" s="150">
        <v>701517.11499999999</v>
      </c>
      <c r="E140" s="150">
        <v>-28616</v>
      </c>
      <c r="F140" s="150">
        <v>672901.11499999999</v>
      </c>
    </row>
    <row r="141" spans="1:6" x14ac:dyDescent="0.2">
      <c r="A141" s="230" t="s">
        <v>457</v>
      </c>
      <c r="B141" s="231"/>
      <c r="C141" s="231" t="s">
        <v>458</v>
      </c>
      <c r="D141" s="228">
        <v>211632</v>
      </c>
      <c r="E141" s="228">
        <v>500</v>
      </c>
      <c r="F141" s="228">
        <v>212132</v>
      </c>
    </row>
    <row r="142" spans="1:6" x14ac:dyDescent="0.2">
      <c r="A142" s="232" t="s">
        <v>457</v>
      </c>
      <c r="B142" s="227" t="s">
        <v>133</v>
      </c>
      <c r="C142" s="227" t="s">
        <v>134</v>
      </c>
      <c r="D142" s="150">
        <v>211632</v>
      </c>
      <c r="E142" s="150">
        <v>500</v>
      </c>
      <c r="F142" s="150">
        <v>212132</v>
      </c>
    </row>
    <row r="143" spans="1:6" x14ac:dyDescent="0.2">
      <c r="A143" s="230" t="s">
        <v>462</v>
      </c>
      <c r="B143" s="231"/>
      <c r="C143" s="231" t="s">
        <v>463</v>
      </c>
      <c r="D143" s="228">
        <v>77772</v>
      </c>
      <c r="E143" s="228">
        <v>2000</v>
      </c>
      <c r="F143" s="228">
        <v>79772</v>
      </c>
    </row>
    <row r="144" spans="1:6" x14ac:dyDescent="0.2">
      <c r="A144" s="232" t="s">
        <v>462</v>
      </c>
      <c r="B144" s="227" t="s">
        <v>133</v>
      </c>
      <c r="C144" s="227" t="s">
        <v>134</v>
      </c>
      <c r="D144" s="150">
        <v>77772</v>
      </c>
      <c r="E144" s="150">
        <v>2000</v>
      </c>
      <c r="F144" s="150">
        <v>79772</v>
      </c>
    </row>
    <row r="145" spans="1:6" x14ac:dyDescent="0.2">
      <c r="A145" s="230" t="s">
        <v>459</v>
      </c>
      <c r="B145" s="231"/>
      <c r="C145" s="231" t="s">
        <v>465</v>
      </c>
      <c r="D145" s="228">
        <v>200640</v>
      </c>
      <c r="E145" s="228">
        <v>52040</v>
      </c>
      <c r="F145" s="228">
        <v>252680</v>
      </c>
    </row>
    <row r="146" spans="1:6" x14ac:dyDescent="0.2">
      <c r="A146" s="232" t="s">
        <v>459</v>
      </c>
      <c r="B146" s="227" t="s">
        <v>166</v>
      </c>
      <c r="C146" s="227" t="s">
        <v>167</v>
      </c>
      <c r="D146" s="197">
        <v>0</v>
      </c>
      <c r="E146" s="197">
        <v>52040</v>
      </c>
      <c r="F146" s="197">
        <v>52040</v>
      </c>
    </row>
    <row r="147" spans="1:6" x14ac:dyDescent="0.2">
      <c r="A147" s="232" t="s">
        <v>459</v>
      </c>
      <c r="B147" s="227" t="s">
        <v>133</v>
      </c>
      <c r="C147" s="227" t="s">
        <v>134</v>
      </c>
      <c r="D147" s="150">
        <v>200640</v>
      </c>
      <c r="E147" s="150">
        <v>0</v>
      </c>
      <c r="F147" s="150">
        <v>200640</v>
      </c>
    </row>
    <row r="148" spans="1:6" x14ac:dyDescent="0.2">
      <c r="A148" s="230" t="s">
        <v>468</v>
      </c>
      <c r="B148" s="231"/>
      <c r="C148" s="231" t="s">
        <v>469</v>
      </c>
      <c r="D148" s="228">
        <v>628274.86699999997</v>
      </c>
      <c r="E148" s="228">
        <v>144075</v>
      </c>
      <c r="F148" s="228">
        <v>772349.86699999997</v>
      </c>
    </row>
    <row r="149" spans="1:6" x14ac:dyDescent="0.2">
      <c r="A149" s="230" t="s">
        <v>470</v>
      </c>
      <c r="B149" s="231"/>
      <c r="C149" s="231" t="s">
        <v>471</v>
      </c>
      <c r="D149" s="228">
        <v>242083.76699999999</v>
      </c>
      <c r="E149" s="228">
        <v>56396</v>
      </c>
      <c r="F149" s="228">
        <v>298479.76699999999</v>
      </c>
    </row>
    <row r="150" spans="1:6" x14ac:dyDescent="0.2">
      <c r="A150" s="232" t="s">
        <v>470</v>
      </c>
      <c r="B150" s="227" t="s">
        <v>127</v>
      </c>
      <c r="C150" s="227" t="s">
        <v>128</v>
      </c>
      <c r="D150" s="150">
        <v>0</v>
      </c>
      <c r="E150" s="150">
        <v>32304</v>
      </c>
      <c r="F150" s="150">
        <v>32304</v>
      </c>
    </row>
    <row r="151" spans="1:6" x14ac:dyDescent="0.2">
      <c r="A151" s="232" t="s">
        <v>470</v>
      </c>
      <c r="B151" s="227" t="s">
        <v>133</v>
      </c>
      <c r="C151" s="227" t="s">
        <v>134</v>
      </c>
      <c r="D151" s="150">
        <v>242083.76699999999</v>
      </c>
      <c r="E151" s="150">
        <v>24092</v>
      </c>
      <c r="F151" s="150">
        <v>266175.76699999999</v>
      </c>
    </row>
    <row r="152" spans="1:6" x14ac:dyDescent="0.2">
      <c r="A152" s="230" t="s">
        <v>477</v>
      </c>
      <c r="B152" s="231"/>
      <c r="C152" s="231" t="s">
        <v>478</v>
      </c>
      <c r="D152" s="228">
        <v>20477.099999999999</v>
      </c>
      <c r="E152" s="228">
        <v>0</v>
      </c>
      <c r="F152" s="228">
        <v>20477.099999999999</v>
      </c>
    </row>
    <row r="153" spans="1:6" x14ac:dyDescent="0.2">
      <c r="A153" s="232" t="s">
        <v>477</v>
      </c>
      <c r="B153" s="227" t="s">
        <v>133</v>
      </c>
      <c r="C153" s="227" t="s">
        <v>134</v>
      </c>
      <c r="D153" s="150">
        <v>20477.099999999999</v>
      </c>
      <c r="E153" s="150">
        <v>0</v>
      </c>
      <c r="F153" s="150">
        <v>20477.099999999999</v>
      </c>
    </row>
    <row r="154" spans="1:6" x14ac:dyDescent="0.2">
      <c r="A154" s="230" t="s">
        <v>479</v>
      </c>
      <c r="B154" s="231"/>
      <c r="C154" s="231" t="s">
        <v>480</v>
      </c>
      <c r="D154" s="228">
        <v>316814</v>
      </c>
      <c r="E154" s="228">
        <v>55417</v>
      </c>
      <c r="F154" s="228">
        <v>372231</v>
      </c>
    </row>
    <row r="155" spans="1:6" x14ac:dyDescent="0.2">
      <c r="A155" s="232" t="s">
        <v>479</v>
      </c>
      <c r="B155" s="227" t="s">
        <v>133</v>
      </c>
      <c r="C155" s="227" t="s">
        <v>134</v>
      </c>
      <c r="D155" s="150">
        <v>316814</v>
      </c>
      <c r="E155" s="150">
        <v>55417</v>
      </c>
      <c r="F155" s="150">
        <v>372231</v>
      </c>
    </row>
    <row r="156" spans="1:6" x14ac:dyDescent="0.2">
      <c r="A156" s="230" t="s">
        <v>484</v>
      </c>
      <c r="B156" s="231"/>
      <c r="C156" s="231" t="s">
        <v>485</v>
      </c>
      <c r="D156" s="228">
        <v>19688</v>
      </c>
      <c r="E156" s="228">
        <v>31853</v>
      </c>
      <c r="F156" s="228">
        <v>51541</v>
      </c>
    </row>
    <row r="157" spans="1:6" x14ac:dyDescent="0.2">
      <c r="A157" s="232" t="s">
        <v>484</v>
      </c>
      <c r="B157" s="227" t="s">
        <v>133</v>
      </c>
      <c r="C157" s="227" t="s">
        <v>134</v>
      </c>
      <c r="D157" s="150">
        <v>19688</v>
      </c>
      <c r="E157" s="150">
        <v>31853</v>
      </c>
      <c r="F157" s="150">
        <v>51541</v>
      </c>
    </row>
    <row r="158" spans="1:6" x14ac:dyDescent="0.2">
      <c r="A158" s="230" t="s">
        <v>487</v>
      </c>
      <c r="B158" s="231"/>
      <c r="C158" s="231" t="s">
        <v>488</v>
      </c>
      <c r="D158" s="228">
        <v>29212</v>
      </c>
      <c r="E158" s="228">
        <v>409</v>
      </c>
      <c r="F158" s="228">
        <v>29621</v>
      </c>
    </row>
    <row r="159" spans="1:6" x14ac:dyDescent="0.2">
      <c r="A159" s="232" t="s">
        <v>487</v>
      </c>
      <c r="B159" s="227" t="s">
        <v>133</v>
      </c>
      <c r="C159" s="227" t="s">
        <v>134</v>
      </c>
      <c r="D159" s="150">
        <v>29212</v>
      </c>
      <c r="E159" s="150">
        <v>409</v>
      </c>
      <c r="F159" s="150">
        <v>29621</v>
      </c>
    </row>
    <row r="160" spans="1:6" x14ac:dyDescent="0.2">
      <c r="A160" s="230" t="s">
        <v>489</v>
      </c>
      <c r="B160" s="231"/>
      <c r="C160" s="231" t="s">
        <v>490</v>
      </c>
      <c r="D160" s="228">
        <v>293983</v>
      </c>
      <c r="E160" s="228">
        <v>-189396</v>
      </c>
      <c r="F160" s="228">
        <v>104587</v>
      </c>
    </row>
    <row r="161" spans="1:6" x14ac:dyDescent="0.2">
      <c r="A161" s="232" t="s">
        <v>459</v>
      </c>
      <c r="B161" s="227" t="s">
        <v>166</v>
      </c>
      <c r="C161" s="227" t="s">
        <v>167</v>
      </c>
      <c r="D161" s="150">
        <v>0</v>
      </c>
      <c r="E161" s="150">
        <v>50982</v>
      </c>
      <c r="F161" s="150">
        <v>50982</v>
      </c>
    </row>
    <row r="162" spans="1:6" x14ac:dyDescent="0.2">
      <c r="A162" s="232" t="s">
        <v>489</v>
      </c>
      <c r="B162" s="227" t="s">
        <v>133</v>
      </c>
      <c r="C162" s="227" t="s">
        <v>134</v>
      </c>
      <c r="D162" s="150">
        <v>293983</v>
      </c>
      <c r="E162" s="150">
        <v>-240378</v>
      </c>
      <c r="F162" s="150">
        <v>53605</v>
      </c>
    </row>
    <row r="163" spans="1:6" x14ac:dyDescent="0.2">
      <c r="A163" s="230" t="s">
        <v>493</v>
      </c>
      <c r="B163" s="231"/>
      <c r="C163" s="231" t="s">
        <v>494</v>
      </c>
      <c r="D163" s="228">
        <v>2320757.9050000003</v>
      </c>
      <c r="E163" s="228">
        <v>169091</v>
      </c>
      <c r="F163" s="228">
        <v>2489848.9050000003</v>
      </c>
    </row>
    <row r="164" spans="1:6" x14ac:dyDescent="0.2">
      <c r="A164" s="230" t="s">
        <v>495</v>
      </c>
      <c r="B164" s="231"/>
      <c r="C164" s="231" t="s">
        <v>496</v>
      </c>
      <c r="D164" s="228">
        <v>884541.90500000003</v>
      </c>
      <c r="E164" s="228">
        <v>85271</v>
      </c>
      <c r="F164" s="228">
        <v>969812.90500000003</v>
      </c>
    </row>
    <row r="165" spans="1:6" x14ac:dyDescent="0.2">
      <c r="A165" s="232" t="s">
        <v>495</v>
      </c>
      <c r="B165" s="227" t="s">
        <v>127</v>
      </c>
      <c r="C165" s="227" t="s">
        <v>128</v>
      </c>
      <c r="D165" s="150">
        <v>0</v>
      </c>
      <c r="E165" s="150">
        <v>47000</v>
      </c>
      <c r="F165" s="150">
        <v>47000</v>
      </c>
    </row>
    <row r="166" spans="1:6" x14ac:dyDescent="0.2">
      <c r="A166" s="232" t="s">
        <v>495</v>
      </c>
      <c r="B166" s="227" t="s">
        <v>133</v>
      </c>
      <c r="C166" s="227" t="s">
        <v>134</v>
      </c>
      <c r="D166" s="150">
        <v>884541.90500000003</v>
      </c>
      <c r="E166" s="150">
        <v>38271</v>
      </c>
      <c r="F166" s="150">
        <v>922812.90500000003</v>
      </c>
    </row>
    <row r="167" spans="1:6" x14ac:dyDescent="0.2">
      <c r="A167" s="230" t="s">
        <v>503</v>
      </c>
      <c r="B167" s="231"/>
      <c r="C167" s="231" t="s">
        <v>504</v>
      </c>
      <c r="D167" s="228">
        <v>35585</v>
      </c>
      <c r="E167" s="228">
        <v>0</v>
      </c>
      <c r="F167" s="228">
        <v>35585</v>
      </c>
    </row>
    <row r="168" spans="1:6" x14ac:dyDescent="0.2">
      <c r="A168" s="232" t="s">
        <v>503</v>
      </c>
      <c r="B168" s="227" t="s">
        <v>133</v>
      </c>
      <c r="C168" s="227" t="s">
        <v>134</v>
      </c>
      <c r="D168" s="150">
        <v>35585</v>
      </c>
      <c r="E168" s="150">
        <v>0</v>
      </c>
      <c r="F168" s="150">
        <v>35585</v>
      </c>
    </row>
    <row r="169" spans="1:6" x14ac:dyDescent="0.2">
      <c r="A169" s="230" t="s">
        <v>505</v>
      </c>
      <c r="B169" s="231"/>
      <c r="C169" s="231" t="s">
        <v>506</v>
      </c>
      <c r="D169" s="228">
        <v>56580</v>
      </c>
      <c r="E169" s="228">
        <v>-826</v>
      </c>
      <c r="F169" s="228">
        <v>55754</v>
      </c>
    </row>
    <row r="170" spans="1:6" x14ac:dyDescent="0.2">
      <c r="A170" s="232" t="s">
        <v>505</v>
      </c>
      <c r="B170" s="227" t="s">
        <v>133</v>
      </c>
      <c r="C170" s="227" t="s">
        <v>134</v>
      </c>
      <c r="D170" s="150">
        <v>56580</v>
      </c>
      <c r="E170" s="150">
        <v>-826</v>
      </c>
      <c r="F170" s="150">
        <v>55754</v>
      </c>
    </row>
    <row r="171" spans="1:6" x14ac:dyDescent="0.2">
      <c r="A171" s="230" t="s">
        <v>508</v>
      </c>
      <c r="B171" s="231"/>
      <c r="C171" s="231" t="s">
        <v>509</v>
      </c>
      <c r="D171" s="228">
        <v>75440</v>
      </c>
      <c r="E171" s="228">
        <v>16399</v>
      </c>
      <c r="F171" s="228">
        <v>91839</v>
      </c>
    </row>
    <row r="172" spans="1:6" x14ac:dyDescent="0.2">
      <c r="A172" s="232" t="s">
        <v>508</v>
      </c>
      <c r="B172" s="227" t="s">
        <v>133</v>
      </c>
      <c r="C172" s="227" t="s">
        <v>134</v>
      </c>
      <c r="D172" s="150">
        <v>75440</v>
      </c>
      <c r="E172" s="150">
        <v>16399</v>
      </c>
      <c r="F172" s="150">
        <v>91839</v>
      </c>
    </row>
    <row r="173" spans="1:6" x14ac:dyDescent="0.2">
      <c r="A173" s="230" t="s">
        <v>512</v>
      </c>
      <c r="B173" s="231"/>
      <c r="C173" s="231" t="s">
        <v>513</v>
      </c>
      <c r="D173" s="228">
        <v>909334</v>
      </c>
      <c r="E173" s="228">
        <v>121403</v>
      </c>
      <c r="F173" s="228">
        <v>1030737</v>
      </c>
    </row>
    <row r="174" spans="1:6" x14ac:dyDescent="0.2">
      <c r="A174" s="232" t="s">
        <v>512</v>
      </c>
      <c r="B174" s="227" t="s">
        <v>133</v>
      </c>
      <c r="C174" s="227" t="s">
        <v>134</v>
      </c>
      <c r="D174" s="150">
        <v>909334</v>
      </c>
      <c r="E174" s="150">
        <v>121403</v>
      </c>
      <c r="F174" s="150">
        <v>1030737</v>
      </c>
    </row>
    <row r="175" spans="1:6" x14ac:dyDescent="0.2">
      <c r="A175" s="230" t="s">
        <v>514</v>
      </c>
      <c r="B175" s="231"/>
      <c r="C175" s="231" t="s">
        <v>515</v>
      </c>
      <c r="D175" s="228">
        <v>244616</v>
      </c>
      <c r="E175" s="228">
        <v>-50970</v>
      </c>
      <c r="F175" s="228">
        <v>193646</v>
      </c>
    </row>
    <row r="176" spans="1:6" x14ac:dyDescent="0.2">
      <c r="A176" s="232" t="s">
        <v>514</v>
      </c>
      <c r="B176" s="227" t="s">
        <v>133</v>
      </c>
      <c r="C176" s="227" t="s">
        <v>134</v>
      </c>
      <c r="D176" s="150">
        <v>244616</v>
      </c>
      <c r="E176" s="150">
        <v>-50970</v>
      </c>
      <c r="F176" s="150">
        <v>193646</v>
      </c>
    </row>
    <row r="177" spans="1:6" x14ac:dyDescent="0.2">
      <c r="A177" s="230" t="s">
        <v>516</v>
      </c>
      <c r="B177" s="231"/>
      <c r="C177" s="231" t="s">
        <v>517</v>
      </c>
      <c r="D177" s="228">
        <v>114661</v>
      </c>
      <c r="E177" s="228">
        <v>-2186</v>
      </c>
      <c r="F177" s="228">
        <v>112475</v>
      </c>
    </row>
    <row r="178" spans="1:6" x14ac:dyDescent="0.2">
      <c r="A178" s="232" t="s">
        <v>516</v>
      </c>
      <c r="B178" s="227" t="s">
        <v>133</v>
      </c>
      <c r="C178" s="227" t="s">
        <v>134</v>
      </c>
      <c r="D178" s="150">
        <v>114661</v>
      </c>
      <c r="E178" s="150">
        <v>-2186</v>
      </c>
      <c r="F178" s="150">
        <v>112475</v>
      </c>
    </row>
    <row r="179" spans="1:6" x14ac:dyDescent="0.2">
      <c r="A179" s="230" t="s">
        <v>518</v>
      </c>
      <c r="B179" s="231"/>
      <c r="C179" s="231" t="s">
        <v>519</v>
      </c>
      <c r="D179" s="228">
        <v>2034006.8360000001</v>
      </c>
      <c r="E179" s="228">
        <v>61025</v>
      </c>
      <c r="F179" s="228">
        <v>2095031.8360000001</v>
      </c>
    </row>
    <row r="180" spans="1:6" x14ac:dyDescent="0.2">
      <c r="A180" s="230" t="s">
        <v>520</v>
      </c>
      <c r="B180" s="231"/>
      <c r="C180" s="231" t="s">
        <v>521</v>
      </c>
      <c r="D180" s="228">
        <v>522730.83600000001</v>
      </c>
      <c r="E180" s="228">
        <v>56071</v>
      </c>
      <c r="F180" s="228">
        <v>578801.83600000001</v>
      </c>
    </row>
    <row r="181" spans="1:6" x14ac:dyDescent="0.2">
      <c r="A181" s="232" t="s">
        <v>520</v>
      </c>
      <c r="B181" s="227" t="s">
        <v>127</v>
      </c>
      <c r="C181" s="227" t="s">
        <v>128</v>
      </c>
      <c r="D181" s="150">
        <v>0</v>
      </c>
      <c r="E181" s="150">
        <v>22000</v>
      </c>
      <c r="F181" s="150">
        <v>22000</v>
      </c>
    </row>
    <row r="182" spans="1:6" x14ac:dyDescent="0.2">
      <c r="A182" s="232" t="s">
        <v>520</v>
      </c>
      <c r="B182" s="227" t="s">
        <v>133</v>
      </c>
      <c r="C182" s="227" t="s">
        <v>134</v>
      </c>
      <c r="D182" s="150">
        <v>522730.83600000001</v>
      </c>
      <c r="E182" s="150">
        <v>34071</v>
      </c>
      <c r="F182" s="150">
        <v>556801.83600000001</v>
      </c>
    </row>
    <row r="183" spans="1:6" x14ac:dyDescent="0.2">
      <c r="A183" s="230" t="s">
        <v>527</v>
      </c>
      <c r="B183" s="231"/>
      <c r="C183" s="231" t="s">
        <v>528</v>
      </c>
      <c r="D183" s="228">
        <v>34367</v>
      </c>
      <c r="E183" s="228">
        <v>0</v>
      </c>
      <c r="F183" s="228">
        <v>34367</v>
      </c>
    </row>
    <row r="184" spans="1:6" x14ac:dyDescent="0.2">
      <c r="A184" s="232" t="s">
        <v>527</v>
      </c>
      <c r="B184" s="227" t="s">
        <v>133</v>
      </c>
      <c r="C184" s="227" t="s">
        <v>134</v>
      </c>
      <c r="D184" s="150">
        <v>34367</v>
      </c>
      <c r="E184" s="150">
        <v>0</v>
      </c>
      <c r="F184" s="150">
        <v>34367</v>
      </c>
    </row>
    <row r="185" spans="1:6" x14ac:dyDescent="0.2">
      <c r="A185" s="230" t="s">
        <v>529</v>
      </c>
      <c r="B185" s="231"/>
      <c r="C185" s="231" t="s">
        <v>530</v>
      </c>
      <c r="D185" s="228">
        <v>62859</v>
      </c>
      <c r="E185" s="228">
        <v>-153</v>
      </c>
      <c r="F185" s="228">
        <v>62706</v>
      </c>
    </row>
    <row r="186" spans="1:6" x14ac:dyDescent="0.2">
      <c r="A186" s="232" t="s">
        <v>529</v>
      </c>
      <c r="B186" s="227" t="s">
        <v>133</v>
      </c>
      <c r="C186" s="227" t="s">
        <v>134</v>
      </c>
      <c r="D186" s="150">
        <v>62859</v>
      </c>
      <c r="E186" s="150">
        <v>-153</v>
      </c>
      <c r="F186" s="150">
        <v>62706</v>
      </c>
    </row>
    <row r="187" spans="1:6" x14ac:dyDescent="0.2">
      <c r="A187" s="230" t="s">
        <v>532</v>
      </c>
      <c r="B187" s="231"/>
      <c r="C187" s="231" t="s">
        <v>533</v>
      </c>
      <c r="D187" s="228">
        <v>83812</v>
      </c>
      <c r="E187" s="228">
        <v>11423</v>
      </c>
      <c r="F187" s="228">
        <v>95235</v>
      </c>
    </row>
    <row r="188" spans="1:6" x14ac:dyDescent="0.2">
      <c r="A188" s="232" t="s">
        <v>532</v>
      </c>
      <c r="B188" s="227" t="s">
        <v>133</v>
      </c>
      <c r="C188" s="227" t="s">
        <v>134</v>
      </c>
      <c r="D188" s="150">
        <v>83812</v>
      </c>
      <c r="E188" s="150">
        <v>11423</v>
      </c>
      <c r="F188" s="150">
        <v>95235</v>
      </c>
    </row>
    <row r="189" spans="1:6" x14ac:dyDescent="0.2">
      <c r="A189" s="230" t="s">
        <v>535</v>
      </c>
      <c r="B189" s="231"/>
      <c r="C189" s="231" t="s">
        <v>536</v>
      </c>
      <c r="D189" s="228">
        <v>890367</v>
      </c>
      <c r="E189" s="228">
        <v>20882</v>
      </c>
      <c r="F189" s="228">
        <v>911249</v>
      </c>
    </row>
    <row r="190" spans="1:6" x14ac:dyDescent="0.2">
      <c r="A190" s="232" t="s">
        <v>535</v>
      </c>
      <c r="B190" s="227" t="s">
        <v>133</v>
      </c>
      <c r="C190" s="227" t="s">
        <v>134</v>
      </c>
      <c r="D190" s="150">
        <v>890367</v>
      </c>
      <c r="E190" s="150">
        <v>20882</v>
      </c>
      <c r="F190" s="150">
        <v>911249</v>
      </c>
    </row>
    <row r="191" spans="1:6" x14ac:dyDescent="0.2">
      <c r="A191" s="230" t="s">
        <v>537</v>
      </c>
      <c r="B191" s="231"/>
      <c r="C191" s="231" t="s">
        <v>538</v>
      </c>
      <c r="D191" s="228">
        <v>315519</v>
      </c>
      <c r="E191" s="228">
        <v>-26788</v>
      </c>
      <c r="F191" s="228">
        <v>288731</v>
      </c>
    </row>
    <row r="192" spans="1:6" x14ac:dyDescent="0.2">
      <c r="A192" s="232" t="s">
        <v>537</v>
      </c>
      <c r="B192" s="227" t="s">
        <v>133</v>
      </c>
      <c r="C192" s="227" t="s">
        <v>134</v>
      </c>
      <c r="D192" s="150">
        <v>315519</v>
      </c>
      <c r="E192" s="150">
        <v>-26788</v>
      </c>
      <c r="F192" s="150">
        <v>288731</v>
      </c>
    </row>
    <row r="193" spans="1:6" x14ac:dyDescent="0.2">
      <c r="A193" s="230" t="s">
        <v>539</v>
      </c>
      <c r="B193" s="231"/>
      <c r="C193" s="231" t="s">
        <v>540</v>
      </c>
      <c r="D193" s="228">
        <v>124352</v>
      </c>
      <c r="E193" s="228">
        <v>-410</v>
      </c>
      <c r="F193" s="228">
        <v>123942</v>
      </c>
    </row>
    <row r="194" spans="1:6" x14ac:dyDescent="0.2">
      <c r="A194" s="232" t="s">
        <v>539</v>
      </c>
      <c r="B194" s="227" t="s">
        <v>133</v>
      </c>
      <c r="C194" s="227" t="s">
        <v>134</v>
      </c>
      <c r="D194" s="150">
        <v>124352</v>
      </c>
      <c r="E194" s="150">
        <v>-410</v>
      </c>
      <c r="F194" s="150">
        <v>123942</v>
      </c>
    </row>
    <row r="195" spans="1:6" x14ac:dyDescent="0.2">
      <c r="A195" s="230" t="s">
        <v>541</v>
      </c>
      <c r="B195" s="231"/>
      <c r="C195" s="231" t="s">
        <v>542</v>
      </c>
      <c r="D195" s="228">
        <v>142516</v>
      </c>
      <c r="E195" s="228">
        <v>-120616</v>
      </c>
      <c r="F195" s="228">
        <v>21900</v>
      </c>
    </row>
    <row r="196" spans="1:6" x14ac:dyDescent="0.2">
      <c r="A196" s="232" t="s">
        <v>459</v>
      </c>
      <c r="B196" s="227" t="s">
        <v>166</v>
      </c>
      <c r="C196" s="227" t="s">
        <v>167</v>
      </c>
      <c r="D196" s="150">
        <v>0</v>
      </c>
      <c r="E196" s="150">
        <v>21900</v>
      </c>
      <c r="F196" s="150">
        <v>21900</v>
      </c>
    </row>
    <row r="197" spans="1:6" x14ac:dyDescent="0.2">
      <c r="A197" s="232" t="s">
        <v>541</v>
      </c>
      <c r="B197" s="227" t="s">
        <v>133</v>
      </c>
      <c r="C197" s="227" t="s">
        <v>134</v>
      </c>
      <c r="D197" s="150">
        <v>142516</v>
      </c>
      <c r="E197" s="150">
        <v>-142516</v>
      </c>
      <c r="F197" s="150">
        <v>0</v>
      </c>
    </row>
    <row r="198" spans="1:6" x14ac:dyDescent="0.2">
      <c r="A198" s="230" t="s">
        <v>543</v>
      </c>
      <c r="B198" s="231"/>
      <c r="C198" s="231" t="s">
        <v>544</v>
      </c>
      <c r="D198" s="228">
        <v>54873</v>
      </c>
      <c r="E198" s="228">
        <v>0</v>
      </c>
      <c r="F198" s="228">
        <v>54873</v>
      </c>
    </row>
    <row r="199" spans="1:6" x14ac:dyDescent="0.2">
      <c r="A199" s="232" t="s">
        <v>543</v>
      </c>
      <c r="B199" s="227" t="s">
        <v>133</v>
      </c>
      <c r="C199" s="227" t="s">
        <v>134</v>
      </c>
      <c r="D199" s="150">
        <v>54873</v>
      </c>
      <c r="E199" s="150">
        <v>0</v>
      </c>
      <c r="F199" s="150">
        <v>54873</v>
      </c>
    </row>
    <row r="200" spans="1:6" x14ac:dyDescent="0.2">
      <c r="A200" s="230" t="s">
        <v>545</v>
      </c>
      <c r="B200" s="231"/>
      <c r="C200" s="231" t="s">
        <v>546</v>
      </c>
      <c r="D200" s="228">
        <v>273887.34100000001</v>
      </c>
      <c r="E200" s="228">
        <v>137860</v>
      </c>
      <c r="F200" s="228">
        <v>411747.34100000001</v>
      </c>
    </row>
    <row r="201" spans="1:6" x14ac:dyDescent="0.2">
      <c r="A201" s="230" t="s">
        <v>547</v>
      </c>
      <c r="B201" s="231"/>
      <c r="C201" s="231" t="s">
        <v>548</v>
      </c>
      <c r="D201" s="228">
        <v>84573.341</v>
      </c>
      <c r="E201" s="228">
        <v>2826</v>
      </c>
      <c r="F201" s="228">
        <v>87399.341</v>
      </c>
    </row>
    <row r="202" spans="1:6" x14ac:dyDescent="0.2">
      <c r="A202" s="232" t="s">
        <v>547</v>
      </c>
      <c r="B202" s="227" t="s">
        <v>133</v>
      </c>
      <c r="C202" s="227" t="s">
        <v>134</v>
      </c>
      <c r="D202" s="150">
        <v>84573.341</v>
      </c>
      <c r="E202" s="150">
        <v>2826</v>
      </c>
      <c r="F202" s="150">
        <v>87399.341</v>
      </c>
    </row>
    <row r="203" spans="1:6" x14ac:dyDescent="0.2">
      <c r="A203" s="230" t="s">
        <v>554</v>
      </c>
      <c r="B203" s="231"/>
      <c r="C203" s="231" t="s">
        <v>555</v>
      </c>
      <c r="D203" s="228">
        <v>12629</v>
      </c>
      <c r="E203" s="228">
        <v>-1186</v>
      </c>
      <c r="F203" s="228">
        <v>11443</v>
      </c>
    </row>
    <row r="204" spans="1:6" x14ac:dyDescent="0.2">
      <c r="A204" s="232" t="s">
        <v>554</v>
      </c>
      <c r="B204" s="227" t="s">
        <v>133</v>
      </c>
      <c r="C204" s="227" t="s">
        <v>134</v>
      </c>
      <c r="D204" s="150">
        <v>12629</v>
      </c>
      <c r="E204" s="150">
        <v>-1186</v>
      </c>
      <c r="F204" s="150">
        <v>11443</v>
      </c>
    </row>
    <row r="205" spans="1:6" x14ac:dyDescent="0.2">
      <c r="A205" s="230" t="s">
        <v>557</v>
      </c>
      <c r="B205" s="231"/>
      <c r="C205" s="231" t="s">
        <v>558</v>
      </c>
      <c r="D205" s="228">
        <v>17204</v>
      </c>
      <c r="E205" s="228">
        <v>6114</v>
      </c>
      <c r="F205" s="228">
        <v>23318</v>
      </c>
    </row>
    <row r="206" spans="1:6" x14ac:dyDescent="0.2">
      <c r="A206" s="232" t="s">
        <v>557</v>
      </c>
      <c r="B206" s="227" t="s">
        <v>133</v>
      </c>
      <c r="C206" s="227" t="s">
        <v>134</v>
      </c>
      <c r="D206" s="150">
        <v>17204</v>
      </c>
      <c r="E206" s="150">
        <v>6114</v>
      </c>
      <c r="F206" s="150">
        <v>23318</v>
      </c>
    </row>
    <row r="207" spans="1:6" x14ac:dyDescent="0.2">
      <c r="A207" s="230" t="s">
        <v>560</v>
      </c>
      <c r="B207" s="231"/>
      <c r="C207" s="231" t="s">
        <v>561</v>
      </c>
      <c r="D207" s="228">
        <v>88097</v>
      </c>
      <c r="E207" s="228">
        <v>-35797</v>
      </c>
      <c r="F207" s="228">
        <v>52300</v>
      </c>
    </row>
    <row r="208" spans="1:6" x14ac:dyDescent="0.2">
      <c r="A208" s="232" t="s">
        <v>560</v>
      </c>
      <c r="B208" s="227" t="s">
        <v>133</v>
      </c>
      <c r="C208" s="227" t="s">
        <v>134</v>
      </c>
      <c r="D208" s="150">
        <v>88097</v>
      </c>
      <c r="E208" s="150">
        <v>-35797</v>
      </c>
      <c r="F208" s="150">
        <v>52300</v>
      </c>
    </row>
    <row r="209" spans="1:6" x14ac:dyDescent="0.2">
      <c r="A209" s="230" t="s">
        <v>562</v>
      </c>
      <c r="B209" s="231"/>
      <c r="C209" s="231" t="s">
        <v>563</v>
      </c>
      <c r="D209" s="228">
        <v>71384</v>
      </c>
      <c r="E209" s="228">
        <v>86552</v>
      </c>
      <c r="F209" s="228">
        <v>157936</v>
      </c>
    </row>
    <row r="210" spans="1:6" x14ac:dyDescent="0.2">
      <c r="A210" s="232" t="s">
        <v>562</v>
      </c>
      <c r="B210" s="227" t="s">
        <v>133</v>
      </c>
      <c r="C210" s="227" t="s">
        <v>134</v>
      </c>
      <c r="D210" s="150">
        <v>71384</v>
      </c>
      <c r="E210" s="150">
        <v>86552</v>
      </c>
      <c r="F210" s="150">
        <v>157936</v>
      </c>
    </row>
    <row r="211" spans="1:6" x14ac:dyDescent="0.2">
      <c r="A211" s="230" t="s">
        <v>564</v>
      </c>
      <c r="B211" s="231"/>
      <c r="C211" s="231" t="s">
        <v>565</v>
      </c>
      <c r="D211" s="236">
        <v>0</v>
      </c>
      <c r="E211" s="237">
        <v>79351</v>
      </c>
      <c r="F211" s="237">
        <v>79351</v>
      </c>
    </row>
    <row r="212" spans="1:6" x14ac:dyDescent="0.2">
      <c r="A212" s="227" t="s">
        <v>564</v>
      </c>
      <c r="B212" s="227" t="s">
        <v>133</v>
      </c>
      <c r="C212" s="227" t="s">
        <v>134</v>
      </c>
      <c r="D212" s="150">
        <v>0</v>
      </c>
      <c r="E212" s="150">
        <v>79351</v>
      </c>
      <c r="F212" s="150">
        <v>79351</v>
      </c>
    </row>
    <row r="213" spans="1:6" x14ac:dyDescent="0.2">
      <c r="A213" s="230" t="s">
        <v>566</v>
      </c>
      <c r="B213" s="231"/>
      <c r="C213" s="231" t="s">
        <v>567</v>
      </c>
      <c r="D213" s="228">
        <v>7392</v>
      </c>
      <c r="E213" s="228">
        <v>-2112</v>
      </c>
      <c r="F213" s="228">
        <v>5280</v>
      </c>
    </row>
    <row r="214" spans="1:6" x14ac:dyDescent="0.2">
      <c r="A214" s="232" t="s">
        <v>566</v>
      </c>
      <c r="B214" s="227" t="s">
        <v>133</v>
      </c>
      <c r="C214" s="227" t="s">
        <v>134</v>
      </c>
      <c r="D214" s="150">
        <v>7392</v>
      </c>
      <c r="E214" s="150">
        <v>-2112</v>
      </c>
      <c r="F214" s="150">
        <v>5280</v>
      </c>
    </row>
    <row r="215" spans="1:6" x14ac:dyDescent="0.2">
      <c r="A215" s="230" t="s">
        <v>570</v>
      </c>
      <c r="B215" s="231"/>
      <c r="C215" s="231" t="s">
        <v>571</v>
      </c>
      <c r="D215" s="228">
        <v>4163</v>
      </c>
      <c r="E215" s="228">
        <v>-4163</v>
      </c>
      <c r="F215" s="228">
        <v>0</v>
      </c>
    </row>
    <row r="216" spans="1:6" x14ac:dyDescent="0.2">
      <c r="A216" s="232" t="s">
        <v>570</v>
      </c>
      <c r="B216" s="227" t="s">
        <v>133</v>
      </c>
      <c r="C216" s="227" t="s">
        <v>134</v>
      </c>
      <c r="D216" s="150">
        <v>4163</v>
      </c>
      <c r="E216" s="150">
        <v>-4163</v>
      </c>
      <c r="F216" s="150">
        <v>0</v>
      </c>
    </row>
    <row r="217" spans="1:6" x14ac:dyDescent="0.2">
      <c r="A217" s="230" t="s">
        <v>573</v>
      </c>
      <c r="B217" s="231"/>
      <c r="C217" s="231" t="s">
        <v>353</v>
      </c>
      <c r="D217" s="228">
        <v>265424</v>
      </c>
      <c r="E217" s="228">
        <v>320352</v>
      </c>
      <c r="F217" s="228">
        <v>320352</v>
      </c>
    </row>
    <row r="218" spans="1:6" x14ac:dyDescent="0.2">
      <c r="A218" s="232" t="s">
        <v>573</v>
      </c>
      <c r="B218" s="227" t="s">
        <v>133</v>
      </c>
      <c r="C218" s="227" t="s">
        <v>134</v>
      </c>
      <c r="D218" s="150">
        <v>265424</v>
      </c>
      <c r="E218" s="150">
        <v>54928</v>
      </c>
      <c r="F218" s="150">
        <v>320352</v>
      </c>
    </row>
    <row r="219" spans="1:6" x14ac:dyDescent="0.2">
      <c r="A219" s="230" t="s">
        <v>576</v>
      </c>
      <c r="B219" s="231"/>
      <c r="C219" s="231" t="s">
        <v>377</v>
      </c>
      <c r="D219" s="228">
        <v>377073</v>
      </c>
      <c r="E219" s="228">
        <v>400627.08</v>
      </c>
      <c r="F219" s="228">
        <v>400627.08</v>
      </c>
    </row>
    <row r="220" spans="1:6" x14ac:dyDescent="0.2">
      <c r="A220" s="232" t="s">
        <v>576</v>
      </c>
      <c r="B220" s="227" t="s">
        <v>133</v>
      </c>
      <c r="C220" s="227" t="s">
        <v>134</v>
      </c>
      <c r="D220" s="150">
        <v>377073</v>
      </c>
      <c r="E220" s="150">
        <v>23554.080000000002</v>
      </c>
      <c r="F220" s="150">
        <v>400627.08</v>
      </c>
    </row>
    <row r="221" spans="1:6" x14ac:dyDescent="0.2">
      <c r="A221" s="230" t="s">
        <v>100</v>
      </c>
      <c r="B221" s="231"/>
      <c r="C221" s="231" t="s">
        <v>581</v>
      </c>
      <c r="D221" s="228">
        <v>4800</v>
      </c>
      <c r="E221" s="228">
        <v>0</v>
      </c>
      <c r="F221" s="228">
        <v>4800</v>
      </c>
    </row>
    <row r="222" spans="1:6" x14ac:dyDescent="0.2">
      <c r="A222" s="232" t="s">
        <v>100</v>
      </c>
      <c r="B222" s="227" t="s">
        <v>133</v>
      </c>
      <c r="C222" s="227" t="s">
        <v>134</v>
      </c>
      <c r="D222" s="150">
        <v>4800</v>
      </c>
      <c r="E222" s="150">
        <v>0</v>
      </c>
      <c r="F222" s="150">
        <v>4800</v>
      </c>
    </row>
    <row r="223" spans="1:6" x14ac:dyDescent="0.2">
      <c r="A223" s="230" t="s">
        <v>582</v>
      </c>
      <c r="B223" s="231"/>
      <c r="C223" s="231" t="s">
        <v>583</v>
      </c>
      <c r="D223" s="228">
        <v>206116</v>
      </c>
      <c r="E223" s="228">
        <v>3172</v>
      </c>
      <c r="F223" s="228">
        <v>209288</v>
      </c>
    </row>
    <row r="224" spans="1:6" x14ac:dyDescent="0.2">
      <c r="A224" s="232" t="s">
        <v>582</v>
      </c>
      <c r="B224" s="227" t="s">
        <v>133</v>
      </c>
      <c r="C224" s="227" t="s">
        <v>134</v>
      </c>
      <c r="D224" s="150">
        <v>206116</v>
      </c>
      <c r="E224" s="150">
        <v>3172</v>
      </c>
      <c r="F224" s="150">
        <v>209288</v>
      </c>
    </row>
    <row r="225" spans="1:6" x14ac:dyDescent="0.2">
      <c r="A225" s="230" t="s">
        <v>585</v>
      </c>
      <c r="B225" s="231"/>
      <c r="C225" s="231" t="s">
        <v>586</v>
      </c>
      <c r="D225" s="228">
        <v>16496</v>
      </c>
      <c r="E225" s="228">
        <v>0</v>
      </c>
      <c r="F225" s="228">
        <v>16496</v>
      </c>
    </row>
    <row r="226" spans="1:6" x14ac:dyDescent="0.2">
      <c r="A226" s="232" t="s">
        <v>585</v>
      </c>
      <c r="B226" s="227" t="s">
        <v>133</v>
      </c>
      <c r="C226" s="227" t="s">
        <v>134</v>
      </c>
      <c r="D226" s="150">
        <v>16496</v>
      </c>
      <c r="E226" s="150">
        <v>0</v>
      </c>
      <c r="F226" s="150">
        <v>16496</v>
      </c>
    </row>
    <row r="227" spans="1:6" x14ac:dyDescent="0.2">
      <c r="A227" s="230" t="s">
        <v>587</v>
      </c>
      <c r="B227" s="231"/>
      <c r="C227" s="231" t="s">
        <v>588</v>
      </c>
      <c r="D227" s="228">
        <v>140398</v>
      </c>
      <c r="E227" s="228">
        <v>-68478</v>
      </c>
      <c r="F227" s="228">
        <v>71920</v>
      </c>
    </row>
    <row r="228" spans="1:6" x14ac:dyDescent="0.2">
      <c r="A228" s="230" t="s">
        <v>589</v>
      </c>
      <c r="B228" s="231"/>
      <c r="C228" s="231" t="s">
        <v>590</v>
      </c>
      <c r="D228" s="228">
        <v>93432</v>
      </c>
      <c r="E228" s="228">
        <v>-66222</v>
      </c>
      <c r="F228" s="228">
        <v>27210</v>
      </c>
    </row>
    <row r="229" spans="1:6" x14ac:dyDescent="0.2">
      <c r="A229" s="232" t="s">
        <v>589</v>
      </c>
      <c r="B229" s="227" t="s">
        <v>133</v>
      </c>
      <c r="C229" s="227" t="s">
        <v>134</v>
      </c>
      <c r="D229" s="150">
        <v>93432</v>
      </c>
      <c r="E229" s="150">
        <v>-66222</v>
      </c>
      <c r="F229" s="150">
        <v>27210</v>
      </c>
    </row>
    <row r="230" spans="1:6" x14ac:dyDescent="0.2">
      <c r="A230" s="230" t="s">
        <v>595</v>
      </c>
      <c r="B230" s="231"/>
      <c r="C230" s="231" t="s">
        <v>596</v>
      </c>
      <c r="D230" s="228">
        <v>46966</v>
      </c>
      <c r="E230" s="228">
        <v>-2256</v>
      </c>
      <c r="F230" s="228">
        <v>44710</v>
      </c>
    </row>
    <row r="231" spans="1:6" x14ac:dyDescent="0.2">
      <c r="A231" s="232" t="s">
        <v>595</v>
      </c>
      <c r="B231" s="227" t="s">
        <v>133</v>
      </c>
      <c r="C231" s="227" t="s">
        <v>134</v>
      </c>
      <c r="D231" s="150">
        <v>46966</v>
      </c>
      <c r="E231" s="150">
        <v>-2256</v>
      </c>
      <c r="F231" s="150">
        <v>44710</v>
      </c>
    </row>
    <row r="232" spans="1:6" x14ac:dyDescent="0.2">
      <c r="A232" s="230" t="s">
        <v>101</v>
      </c>
      <c r="B232" s="231"/>
      <c r="C232" s="231" t="s">
        <v>598</v>
      </c>
      <c r="D232" s="228">
        <v>1562383</v>
      </c>
      <c r="E232" s="228">
        <v>231964.78</v>
      </c>
      <c r="F232" s="228">
        <v>1794347.78</v>
      </c>
    </row>
    <row r="233" spans="1:6" x14ac:dyDescent="0.2">
      <c r="A233" s="230" t="s">
        <v>599</v>
      </c>
      <c r="B233" s="231"/>
      <c r="C233" s="231" t="s">
        <v>1019</v>
      </c>
      <c r="D233" s="228">
        <v>42441</v>
      </c>
      <c r="E233" s="228">
        <v>200</v>
      </c>
      <c r="F233" s="228">
        <v>42641</v>
      </c>
    </row>
    <row r="234" spans="1:6" x14ac:dyDescent="0.2">
      <c r="A234" s="232" t="s">
        <v>599</v>
      </c>
      <c r="B234" s="227" t="s">
        <v>133</v>
      </c>
      <c r="C234" s="227" t="s">
        <v>134</v>
      </c>
      <c r="D234" s="150">
        <v>42441</v>
      </c>
      <c r="E234" s="150">
        <v>200</v>
      </c>
      <c r="F234" s="150">
        <v>42641</v>
      </c>
    </row>
    <row r="235" spans="1:6" x14ac:dyDescent="0.2">
      <c r="A235" s="230" t="s">
        <v>601</v>
      </c>
      <c r="B235" s="231"/>
      <c r="C235" s="231" t="s">
        <v>602</v>
      </c>
      <c r="D235" s="228">
        <v>20500</v>
      </c>
      <c r="E235" s="228">
        <v>0</v>
      </c>
      <c r="F235" s="228">
        <v>20500</v>
      </c>
    </row>
    <row r="236" spans="1:6" x14ac:dyDescent="0.2">
      <c r="A236" s="232" t="s">
        <v>601</v>
      </c>
      <c r="B236" s="227" t="s">
        <v>166</v>
      </c>
      <c r="C236" s="227" t="s">
        <v>167</v>
      </c>
      <c r="D236" s="150">
        <v>17500</v>
      </c>
      <c r="E236" s="150">
        <v>0</v>
      </c>
      <c r="F236" s="150">
        <v>17500</v>
      </c>
    </row>
    <row r="237" spans="1:6" x14ac:dyDescent="0.2">
      <c r="A237" s="232" t="s">
        <v>601</v>
      </c>
      <c r="B237" s="227" t="s">
        <v>133</v>
      </c>
      <c r="C237" s="227" t="s">
        <v>134</v>
      </c>
      <c r="D237" s="150">
        <v>3000</v>
      </c>
      <c r="E237" s="150">
        <v>0</v>
      </c>
      <c r="F237" s="150">
        <v>3000</v>
      </c>
    </row>
    <row r="238" spans="1:6" x14ac:dyDescent="0.2">
      <c r="A238" s="230" t="s">
        <v>607</v>
      </c>
      <c r="B238" s="231"/>
      <c r="C238" s="231" t="s">
        <v>608</v>
      </c>
      <c r="D238" s="228">
        <v>25297</v>
      </c>
      <c r="E238" s="228">
        <v>35865</v>
      </c>
      <c r="F238" s="228">
        <v>61162</v>
      </c>
    </row>
    <row r="239" spans="1:6" x14ac:dyDescent="0.2">
      <c r="A239" s="232" t="s">
        <v>607</v>
      </c>
      <c r="B239" s="227" t="s">
        <v>166</v>
      </c>
      <c r="C239" s="227" t="s">
        <v>167</v>
      </c>
      <c r="D239" s="150">
        <v>21297</v>
      </c>
      <c r="E239" s="150">
        <v>35865</v>
      </c>
      <c r="F239" s="150">
        <v>57162</v>
      </c>
    </row>
    <row r="240" spans="1:6" x14ac:dyDescent="0.2">
      <c r="A240" s="232" t="s">
        <v>607</v>
      </c>
      <c r="B240" s="227" t="s">
        <v>133</v>
      </c>
      <c r="C240" s="227" t="s">
        <v>134</v>
      </c>
      <c r="D240" s="150">
        <v>4000</v>
      </c>
      <c r="E240" s="150">
        <v>0</v>
      </c>
      <c r="F240" s="150">
        <v>4000</v>
      </c>
    </row>
    <row r="241" spans="1:6" x14ac:dyDescent="0.2">
      <c r="A241" s="230" t="s">
        <v>614</v>
      </c>
      <c r="B241" s="231"/>
      <c r="C241" s="231" t="s">
        <v>615</v>
      </c>
      <c r="D241" s="228">
        <v>24000</v>
      </c>
      <c r="E241" s="228">
        <v>0</v>
      </c>
      <c r="F241" s="228">
        <v>24000</v>
      </c>
    </row>
    <row r="242" spans="1:6" x14ac:dyDescent="0.2">
      <c r="A242" s="232" t="s">
        <v>614</v>
      </c>
      <c r="B242" s="227" t="s">
        <v>166</v>
      </c>
      <c r="C242" s="227" t="s">
        <v>167</v>
      </c>
      <c r="D242" s="150">
        <v>24000</v>
      </c>
      <c r="E242" s="150">
        <v>0</v>
      </c>
      <c r="F242" s="150">
        <v>24000</v>
      </c>
    </row>
    <row r="243" spans="1:6" x14ac:dyDescent="0.2">
      <c r="A243" s="230" t="s">
        <v>616</v>
      </c>
      <c r="B243" s="231"/>
      <c r="C243" s="231" t="s">
        <v>617</v>
      </c>
      <c r="D243" s="228">
        <v>200200</v>
      </c>
      <c r="E243" s="228">
        <v>10000</v>
      </c>
      <c r="F243" s="228">
        <v>210200</v>
      </c>
    </row>
    <row r="244" spans="1:6" x14ac:dyDescent="0.2">
      <c r="A244" s="232" t="s">
        <v>616</v>
      </c>
      <c r="B244" s="227" t="s">
        <v>133</v>
      </c>
      <c r="C244" s="227" t="s">
        <v>134</v>
      </c>
      <c r="D244" s="150">
        <v>200000</v>
      </c>
      <c r="E244" s="150">
        <v>10000</v>
      </c>
      <c r="F244" s="150">
        <v>210000</v>
      </c>
    </row>
    <row r="245" spans="1:6" x14ac:dyDescent="0.2">
      <c r="A245" s="232" t="s">
        <v>616</v>
      </c>
      <c r="B245" s="227" t="s">
        <v>201</v>
      </c>
      <c r="C245" s="227" t="s">
        <v>33</v>
      </c>
      <c r="D245" s="150">
        <v>200</v>
      </c>
      <c r="E245" s="150">
        <v>0</v>
      </c>
      <c r="F245" s="150">
        <v>200</v>
      </c>
    </row>
    <row r="246" spans="1:6" x14ac:dyDescent="0.2">
      <c r="A246" s="230" t="s">
        <v>619</v>
      </c>
      <c r="B246" s="231"/>
      <c r="C246" s="231" t="s">
        <v>1020</v>
      </c>
      <c r="D246" s="228">
        <v>36984</v>
      </c>
      <c r="E246" s="228">
        <v>200</v>
      </c>
      <c r="F246" s="228">
        <v>37184</v>
      </c>
    </row>
    <row r="247" spans="1:6" x14ac:dyDescent="0.2">
      <c r="A247" s="232" t="s">
        <v>619</v>
      </c>
      <c r="B247" s="227" t="s">
        <v>133</v>
      </c>
      <c r="C247" s="227" t="s">
        <v>134</v>
      </c>
      <c r="D247" s="150">
        <v>36984</v>
      </c>
      <c r="E247" s="150">
        <v>200</v>
      </c>
      <c r="F247" s="150">
        <v>37184</v>
      </c>
    </row>
    <row r="248" spans="1:6" x14ac:dyDescent="0.2">
      <c r="A248" s="230" t="s">
        <v>621</v>
      </c>
      <c r="B248" s="231"/>
      <c r="C248" s="231" t="s">
        <v>1021</v>
      </c>
      <c r="D248" s="228">
        <v>103372</v>
      </c>
      <c r="E248" s="228">
        <v>7306</v>
      </c>
      <c r="F248" s="228">
        <v>110678</v>
      </c>
    </row>
    <row r="249" spans="1:6" x14ac:dyDescent="0.2">
      <c r="A249" s="232" t="s">
        <v>621</v>
      </c>
      <c r="B249" s="227" t="s">
        <v>133</v>
      </c>
      <c r="C249" s="227" t="s">
        <v>134</v>
      </c>
      <c r="D249" s="150">
        <v>103372</v>
      </c>
      <c r="E249" s="150">
        <v>7306</v>
      </c>
      <c r="F249" s="150">
        <v>110678</v>
      </c>
    </row>
    <row r="250" spans="1:6" x14ac:dyDescent="0.2">
      <c r="A250" s="230" t="s">
        <v>625</v>
      </c>
      <c r="B250" s="231"/>
      <c r="C250" s="231" t="s">
        <v>626</v>
      </c>
      <c r="D250" s="228">
        <v>12500</v>
      </c>
      <c r="E250" s="228">
        <v>0</v>
      </c>
      <c r="F250" s="228">
        <v>12500</v>
      </c>
    </row>
    <row r="251" spans="1:6" x14ac:dyDescent="0.2">
      <c r="A251" s="232" t="s">
        <v>625</v>
      </c>
      <c r="B251" s="227" t="s">
        <v>166</v>
      </c>
      <c r="C251" s="227" t="s">
        <v>167</v>
      </c>
      <c r="D251" s="150">
        <v>12500</v>
      </c>
      <c r="E251" s="150">
        <v>0</v>
      </c>
      <c r="F251" s="150">
        <v>12500</v>
      </c>
    </row>
    <row r="252" spans="1:6" x14ac:dyDescent="0.2">
      <c r="A252" s="230" t="s">
        <v>102</v>
      </c>
      <c r="B252" s="231"/>
      <c r="C252" s="231" t="s">
        <v>1022</v>
      </c>
      <c r="D252" s="228">
        <v>60146</v>
      </c>
      <c r="E252" s="228">
        <v>300</v>
      </c>
      <c r="F252" s="228">
        <v>60446</v>
      </c>
    </row>
    <row r="253" spans="1:6" x14ac:dyDescent="0.2">
      <c r="A253" s="232" t="s">
        <v>102</v>
      </c>
      <c r="B253" s="227" t="s">
        <v>133</v>
      </c>
      <c r="C253" s="227" t="s">
        <v>134</v>
      </c>
      <c r="D253" s="150">
        <v>60146</v>
      </c>
      <c r="E253" s="150">
        <v>300</v>
      </c>
      <c r="F253" s="150">
        <v>60446</v>
      </c>
    </row>
    <row r="254" spans="1:6" x14ac:dyDescent="0.2">
      <c r="A254" s="230" t="s">
        <v>628</v>
      </c>
      <c r="B254" s="231"/>
      <c r="C254" s="231" t="s">
        <v>629</v>
      </c>
      <c r="D254" s="228">
        <v>2802</v>
      </c>
      <c r="E254" s="228">
        <v>47058</v>
      </c>
      <c r="F254" s="228">
        <v>49860</v>
      </c>
    </row>
    <row r="255" spans="1:6" x14ac:dyDescent="0.2">
      <c r="A255" s="232" t="s">
        <v>628</v>
      </c>
      <c r="B255" s="227" t="s">
        <v>166</v>
      </c>
      <c r="C255" s="227" t="s">
        <v>167</v>
      </c>
      <c r="D255" s="150">
        <v>2060</v>
      </c>
      <c r="E255" s="150">
        <v>46180</v>
      </c>
      <c r="F255" s="150">
        <v>48240</v>
      </c>
    </row>
    <row r="256" spans="1:6" x14ac:dyDescent="0.2">
      <c r="A256" s="232" t="s">
        <v>628</v>
      </c>
      <c r="B256" s="227" t="s">
        <v>133</v>
      </c>
      <c r="C256" s="227" t="s">
        <v>134</v>
      </c>
      <c r="D256" s="150">
        <v>742</v>
      </c>
      <c r="E256" s="150">
        <v>878</v>
      </c>
      <c r="F256" s="150">
        <v>1620</v>
      </c>
    </row>
    <row r="257" spans="1:6" x14ac:dyDescent="0.2">
      <c r="A257" s="230" t="s">
        <v>634</v>
      </c>
      <c r="B257" s="231"/>
      <c r="C257" s="231" t="s">
        <v>635</v>
      </c>
      <c r="D257" s="228">
        <v>5200</v>
      </c>
      <c r="E257" s="228">
        <v>0</v>
      </c>
      <c r="F257" s="228">
        <v>5200</v>
      </c>
    </row>
    <row r="258" spans="1:6" x14ac:dyDescent="0.2">
      <c r="A258" s="232" t="s">
        <v>634</v>
      </c>
      <c r="B258" s="227" t="s">
        <v>133</v>
      </c>
      <c r="C258" s="227" t="s">
        <v>134</v>
      </c>
      <c r="D258" s="150">
        <v>5200</v>
      </c>
      <c r="E258" s="150">
        <v>0</v>
      </c>
      <c r="F258" s="150">
        <v>5200</v>
      </c>
    </row>
    <row r="259" spans="1:6" x14ac:dyDescent="0.2">
      <c r="A259" s="230" t="s">
        <v>636</v>
      </c>
      <c r="B259" s="231"/>
      <c r="C259" s="231" t="s">
        <v>637</v>
      </c>
      <c r="D259" s="228">
        <v>6000</v>
      </c>
      <c r="E259" s="228">
        <v>0</v>
      </c>
      <c r="F259" s="228">
        <v>6000</v>
      </c>
    </row>
    <row r="260" spans="1:6" x14ac:dyDescent="0.2">
      <c r="A260" s="232" t="s">
        <v>636</v>
      </c>
      <c r="B260" s="227" t="s">
        <v>166</v>
      </c>
      <c r="C260" s="227" t="s">
        <v>167</v>
      </c>
      <c r="D260" s="150">
        <v>6000</v>
      </c>
      <c r="E260" s="150">
        <v>0</v>
      </c>
      <c r="F260" s="150">
        <v>6000</v>
      </c>
    </row>
    <row r="261" spans="1:6" x14ac:dyDescent="0.2">
      <c r="A261" s="230" t="s">
        <v>638</v>
      </c>
      <c r="B261" s="231"/>
      <c r="C261" s="231" t="s">
        <v>639</v>
      </c>
      <c r="D261" s="228">
        <v>37000</v>
      </c>
      <c r="E261" s="228">
        <v>0</v>
      </c>
      <c r="F261" s="228">
        <v>37000</v>
      </c>
    </row>
    <row r="262" spans="1:6" x14ac:dyDescent="0.2">
      <c r="A262" s="232" t="s">
        <v>638</v>
      </c>
      <c r="B262" s="227" t="s">
        <v>166</v>
      </c>
      <c r="C262" s="227" t="s">
        <v>167</v>
      </c>
      <c r="D262" s="150">
        <v>37000</v>
      </c>
      <c r="E262" s="150">
        <v>0</v>
      </c>
      <c r="F262" s="150">
        <v>37000</v>
      </c>
    </row>
    <row r="263" spans="1:6" x14ac:dyDescent="0.2">
      <c r="A263" s="230" t="s">
        <v>640</v>
      </c>
      <c r="B263" s="231"/>
      <c r="C263" s="231" t="s">
        <v>641</v>
      </c>
      <c r="D263" s="228">
        <v>6500</v>
      </c>
      <c r="E263" s="228">
        <v>4750</v>
      </c>
      <c r="F263" s="228">
        <v>11250</v>
      </c>
    </row>
    <row r="264" spans="1:6" x14ac:dyDescent="0.2">
      <c r="A264" s="232" t="s">
        <v>640</v>
      </c>
      <c r="B264" s="227" t="s">
        <v>133</v>
      </c>
      <c r="C264" s="227" t="s">
        <v>134</v>
      </c>
      <c r="D264" s="238">
        <v>0</v>
      </c>
      <c r="E264" s="238">
        <v>3350</v>
      </c>
      <c r="F264" s="238">
        <v>3350</v>
      </c>
    </row>
    <row r="265" spans="1:6" x14ac:dyDescent="0.2">
      <c r="A265" s="232" t="s">
        <v>640</v>
      </c>
      <c r="B265" s="227" t="s">
        <v>166</v>
      </c>
      <c r="C265" s="227" t="s">
        <v>167</v>
      </c>
      <c r="D265" s="150">
        <v>6500</v>
      </c>
      <c r="E265" s="150">
        <v>1400</v>
      </c>
      <c r="F265" s="150">
        <v>7900</v>
      </c>
    </row>
    <row r="266" spans="1:6" x14ac:dyDescent="0.2">
      <c r="A266" s="230" t="s">
        <v>645</v>
      </c>
      <c r="B266" s="231"/>
      <c r="C266" s="231" t="s">
        <v>646</v>
      </c>
      <c r="D266" s="228">
        <v>16000</v>
      </c>
      <c r="E266" s="228">
        <v>0</v>
      </c>
      <c r="F266" s="228">
        <v>16000</v>
      </c>
    </row>
    <row r="267" spans="1:6" x14ac:dyDescent="0.2">
      <c r="A267" s="232" t="s">
        <v>645</v>
      </c>
      <c r="B267" s="227" t="s">
        <v>166</v>
      </c>
      <c r="C267" s="227" t="s">
        <v>167</v>
      </c>
      <c r="D267" s="150">
        <v>16000</v>
      </c>
      <c r="E267" s="150">
        <v>0</v>
      </c>
      <c r="F267" s="150">
        <v>16000</v>
      </c>
    </row>
    <row r="268" spans="1:6" x14ac:dyDescent="0.2">
      <c r="A268" s="230" t="s">
        <v>647</v>
      </c>
      <c r="B268" s="231"/>
      <c r="C268" s="231" t="s">
        <v>648</v>
      </c>
      <c r="D268" s="228">
        <v>45000</v>
      </c>
      <c r="E268" s="228">
        <v>0</v>
      </c>
      <c r="F268" s="228">
        <v>45000</v>
      </c>
    </row>
    <row r="269" spans="1:6" x14ac:dyDescent="0.2">
      <c r="A269" s="232" t="s">
        <v>647</v>
      </c>
      <c r="B269" s="227" t="s">
        <v>166</v>
      </c>
      <c r="C269" s="227" t="s">
        <v>167</v>
      </c>
      <c r="D269" s="150">
        <v>45000</v>
      </c>
      <c r="E269" s="150">
        <v>0</v>
      </c>
      <c r="F269" s="150">
        <v>45000</v>
      </c>
    </row>
    <row r="270" spans="1:6" x14ac:dyDescent="0.2">
      <c r="A270" s="230" t="s">
        <v>649</v>
      </c>
      <c r="B270" s="231"/>
      <c r="C270" s="231" t="s">
        <v>650</v>
      </c>
      <c r="D270" s="228">
        <v>13000</v>
      </c>
      <c r="E270" s="228">
        <v>0</v>
      </c>
      <c r="F270" s="228">
        <v>13000</v>
      </c>
    </row>
    <row r="271" spans="1:6" x14ac:dyDescent="0.2">
      <c r="A271" s="232" t="s">
        <v>649</v>
      </c>
      <c r="B271" s="227" t="s">
        <v>166</v>
      </c>
      <c r="C271" s="227" t="s">
        <v>167</v>
      </c>
      <c r="D271" s="150">
        <v>13000</v>
      </c>
      <c r="E271" s="150">
        <v>0</v>
      </c>
      <c r="F271" s="150">
        <v>13000</v>
      </c>
    </row>
    <row r="272" spans="1:6" x14ac:dyDescent="0.2">
      <c r="A272" s="230" t="s">
        <v>651</v>
      </c>
      <c r="B272" s="231"/>
      <c r="C272" s="231" t="s">
        <v>1023</v>
      </c>
      <c r="D272" s="228">
        <v>58478</v>
      </c>
      <c r="E272" s="228">
        <v>200</v>
      </c>
      <c r="F272" s="228">
        <v>58678</v>
      </c>
    </row>
    <row r="273" spans="1:6" x14ac:dyDescent="0.2">
      <c r="A273" s="232" t="s">
        <v>651</v>
      </c>
      <c r="B273" s="227" t="s">
        <v>133</v>
      </c>
      <c r="C273" s="227" t="s">
        <v>134</v>
      </c>
      <c r="D273" s="197">
        <v>58478</v>
      </c>
      <c r="E273" s="197">
        <v>200</v>
      </c>
      <c r="F273" s="197">
        <v>58678</v>
      </c>
    </row>
    <row r="274" spans="1:6" x14ac:dyDescent="0.2">
      <c r="A274" s="230" t="s">
        <v>653</v>
      </c>
      <c r="B274" s="231"/>
      <c r="C274" s="231" t="s">
        <v>654</v>
      </c>
      <c r="D274" s="228">
        <v>1000</v>
      </c>
      <c r="E274" s="228">
        <v>0</v>
      </c>
      <c r="F274" s="228">
        <v>1000</v>
      </c>
    </row>
    <row r="275" spans="1:6" x14ac:dyDescent="0.2">
      <c r="A275" s="232" t="s">
        <v>653</v>
      </c>
      <c r="B275" s="227" t="s">
        <v>133</v>
      </c>
      <c r="C275" s="227" t="s">
        <v>134</v>
      </c>
      <c r="D275" s="150">
        <v>1000</v>
      </c>
      <c r="E275" s="150">
        <v>0</v>
      </c>
      <c r="F275" s="150">
        <v>1000</v>
      </c>
    </row>
    <row r="276" spans="1:6" x14ac:dyDescent="0.2">
      <c r="A276" s="230" t="s">
        <v>655</v>
      </c>
      <c r="B276" s="231"/>
      <c r="C276" s="231" t="s">
        <v>1024</v>
      </c>
      <c r="D276" s="228">
        <v>44165</v>
      </c>
      <c r="E276" s="228">
        <v>100</v>
      </c>
      <c r="F276" s="228">
        <v>44265</v>
      </c>
    </row>
    <row r="277" spans="1:6" x14ac:dyDescent="0.2">
      <c r="A277" s="232" t="s">
        <v>655</v>
      </c>
      <c r="B277" s="227" t="s">
        <v>133</v>
      </c>
      <c r="C277" s="227" t="s">
        <v>134</v>
      </c>
      <c r="D277" s="150">
        <v>44165</v>
      </c>
      <c r="E277" s="150">
        <v>100</v>
      </c>
      <c r="F277" s="150">
        <v>44265</v>
      </c>
    </row>
    <row r="278" spans="1:6" x14ac:dyDescent="0.2">
      <c r="A278" s="230" t="s">
        <v>657</v>
      </c>
      <c r="B278" s="231"/>
      <c r="C278" s="231" t="s">
        <v>1025</v>
      </c>
      <c r="D278" s="228">
        <v>70380</v>
      </c>
      <c r="E278" s="228">
        <v>0</v>
      </c>
      <c r="F278" s="228">
        <v>70380</v>
      </c>
    </row>
    <row r="279" spans="1:6" x14ac:dyDescent="0.2">
      <c r="A279" s="232" t="s">
        <v>657</v>
      </c>
      <c r="B279" s="227" t="s">
        <v>166</v>
      </c>
      <c r="C279" s="227" t="s">
        <v>167</v>
      </c>
      <c r="D279" s="150">
        <v>59180</v>
      </c>
      <c r="E279" s="150">
        <v>0</v>
      </c>
      <c r="F279" s="150">
        <v>59180</v>
      </c>
    </row>
    <row r="280" spans="1:6" x14ac:dyDescent="0.2">
      <c r="A280" s="232" t="s">
        <v>657</v>
      </c>
      <c r="B280" s="227" t="s">
        <v>133</v>
      </c>
      <c r="C280" s="227" t="s">
        <v>134</v>
      </c>
      <c r="D280" s="150">
        <v>11200</v>
      </c>
      <c r="E280" s="150">
        <v>0</v>
      </c>
      <c r="F280" s="150">
        <v>11200</v>
      </c>
    </row>
    <row r="281" spans="1:6" x14ac:dyDescent="0.2">
      <c r="A281" s="230" t="s">
        <v>103</v>
      </c>
      <c r="B281" s="231"/>
      <c r="C281" s="231" t="s">
        <v>659</v>
      </c>
      <c r="D281" s="228">
        <v>307293</v>
      </c>
      <c r="E281" s="228">
        <v>70886.78</v>
      </c>
      <c r="F281" s="228">
        <v>378179.77999999997</v>
      </c>
    </row>
    <row r="282" spans="1:6" x14ac:dyDescent="0.2">
      <c r="A282" s="232" t="s">
        <v>103</v>
      </c>
      <c r="B282" s="227" t="s">
        <v>166</v>
      </c>
      <c r="C282" s="227" t="s">
        <v>167</v>
      </c>
      <c r="D282" s="150">
        <v>302890</v>
      </c>
      <c r="E282" s="150">
        <v>68238.2</v>
      </c>
      <c r="F282" s="150">
        <v>371128.19999999995</v>
      </c>
    </row>
    <row r="283" spans="1:6" x14ac:dyDescent="0.2">
      <c r="A283" s="232" t="s">
        <v>103</v>
      </c>
      <c r="B283" s="227" t="s">
        <v>133</v>
      </c>
      <c r="C283" s="227" t="s">
        <v>134</v>
      </c>
      <c r="D283" s="150">
        <v>4403</v>
      </c>
      <c r="E283" s="150">
        <v>2648.58</v>
      </c>
      <c r="F283" s="150">
        <v>7051.58</v>
      </c>
    </row>
    <row r="284" spans="1:6" x14ac:dyDescent="0.2">
      <c r="A284" s="234">
        <v>1070201</v>
      </c>
      <c r="B284" s="231"/>
      <c r="C284" s="231" t="s">
        <v>666</v>
      </c>
      <c r="D284" s="228">
        <v>98500</v>
      </c>
      <c r="E284" s="228">
        <v>1410</v>
      </c>
      <c r="F284" s="228">
        <v>99910</v>
      </c>
    </row>
    <row r="285" spans="1:6" x14ac:dyDescent="0.2">
      <c r="A285" s="232" t="s">
        <v>667</v>
      </c>
      <c r="B285" s="227" t="s">
        <v>166</v>
      </c>
      <c r="C285" s="227" t="s">
        <v>167</v>
      </c>
      <c r="D285" s="150">
        <v>98500</v>
      </c>
      <c r="E285" s="150">
        <v>1410</v>
      </c>
      <c r="F285" s="150">
        <v>99910</v>
      </c>
    </row>
    <row r="286" spans="1:6" x14ac:dyDescent="0.2">
      <c r="A286" s="230" t="s">
        <v>669</v>
      </c>
      <c r="B286" s="231"/>
      <c r="C286" s="231" t="s">
        <v>1026</v>
      </c>
      <c r="D286" s="228">
        <v>9400</v>
      </c>
      <c r="E286" s="228">
        <v>0</v>
      </c>
      <c r="F286" s="228">
        <v>9400</v>
      </c>
    </row>
    <row r="287" spans="1:6" x14ac:dyDescent="0.2">
      <c r="A287" s="232" t="s">
        <v>669</v>
      </c>
      <c r="B287" s="227" t="s">
        <v>166</v>
      </c>
      <c r="C287" s="227" t="s">
        <v>167</v>
      </c>
      <c r="D287" s="150">
        <v>9400</v>
      </c>
      <c r="E287" s="150">
        <v>0</v>
      </c>
      <c r="F287" s="150">
        <v>9400</v>
      </c>
    </row>
    <row r="288" spans="1:6" x14ac:dyDescent="0.2">
      <c r="A288" s="230" t="s">
        <v>671</v>
      </c>
      <c r="B288" s="231"/>
      <c r="C288" s="231" t="s">
        <v>672</v>
      </c>
      <c r="D288" s="228">
        <v>4100</v>
      </c>
      <c r="E288" s="228">
        <v>0</v>
      </c>
      <c r="F288" s="228">
        <v>4100</v>
      </c>
    </row>
    <row r="289" spans="1:6" x14ac:dyDescent="0.2">
      <c r="A289" s="232" t="s">
        <v>671</v>
      </c>
      <c r="B289" s="227" t="s">
        <v>166</v>
      </c>
      <c r="C289" s="227" t="s">
        <v>167</v>
      </c>
      <c r="D289" s="150">
        <v>4100</v>
      </c>
      <c r="E289" s="150">
        <v>0</v>
      </c>
      <c r="F289" s="150">
        <v>4100</v>
      </c>
    </row>
    <row r="290" spans="1:6" x14ac:dyDescent="0.2">
      <c r="A290" s="230" t="s">
        <v>673</v>
      </c>
      <c r="B290" s="231"/>
      <c r="C290" s="231" t="s">
        <v>674</v>
      </c>
      <c r="D290" s="228">
        <v>2560</v>
      </c>
      <c r="E290" s="228">
        <v>1440</v>
      </c>
      <c r="F290" s="228">
        <v>4000</v>
      </c>
    </row>
    <row r="291" spans="1:6" x14ac:dyDescent="0.2">
      <c r="A291" s="232" t="s">
        <v>673</v>
      </c>
      <c r="B291" s="227" t="s">
        <v>166</v>
      </c>
      <c r="C291" s="227" t="s">
        <v>167</v>
      </c>
      <c r="D291" s="150">
        <v>2560</v>
      </c>
      <c r="E291" s="150">
        <v>1440</v>
      </c>
      <c r="F291" s="150">
        <v>4000</v>
      </c>
    </row>
    <row r="292" spans="1:6" x14ac:dyDescent="0.2">
      <c r="A292" s="230" t="s">
        <v>676</v>
      </c>
      <c r="B292" s="231"/>
      <c r="C292" s="231" t="s">
        <v>677</v>
      </c>
      <c r="D292" s="228">
        <v>4000</v>
      </c>
      <c r="E292" s="228">
        <v>-4000</v>
      </c>
      <c r="F292" s="228">
        <v>0</v>
      </c>
    </row>
    <row r="293" spans="1:6" x14ac:dyDescent="0.2">
      <c r="A293" s="232" t="s">
        <v>676</v>
      </c>
      <c r="B293" s="227" t="s">
        <v>133</v>
      </c>
      <c r="C293" s="227" t="s">
        <v>134</v>
      </c>
      <c r="D293" s="150">
        <v>4000</v>
      </c>
      <c r="E293" s="150">
        <v>-4000</v>
      </c>
      <c r="F293" s="150">
        <v>0</v>
      </c>
    </row>
    <row r="294" spans="1:6" x14ac:dyDescent="0.2">
      <c r="A294" s="230" t="s">
        <v>679</v>
      </c>
      <c r="B294" s="231"/>
      <c r="C294" s="231" t="s">
        <v>1027</v>
      </c>
      <c r="D294" s="228">
        <v>170388</v>
      </c>
      <c r="E294" s="228">
        <v>37880</v>
      </c>
      <c r="F294" s="228">
        <v>208268</v>
      </c>
    </row>
    <row r="295" spans="1:6" x14ac:dyDescent="0.2">
      <c r="A295" s="232" t="s">
        <v>679</v>
      </c>
      <c r="B295" s="227" t="s">
        <v>127</v>
      </c>
      <c r="C295" s="227" t="s">
        <v>128</v>
      </c>
      <c r="D295" s="150">
        <v>0</v>
      </c>
      <c r="E295" s="150">
        <v>19000</v>
      </c>
      <c r="F295" s="150">
        <v>19000</v>
      </c>
    </row>
    <row r="296" spans="1:6" x14ac:dyDescent="0.2">
      <c r="A296" s="232" t="s">
        <v>679</v>
      </c>
      <c r="B296" s="227" t="s">
        <v>133</v>
      </c>
      <c r="C296" s="227" t="s">
        <v>134</v>
      </c>
      <c r="D296" s="150">
        <v>170388</v>
      </c>
      <c r="E296" s="150">
        <v>18880</v>
      </c>
      <c r="F296" s="150">
        <v>189268</v>
      </c>
    </row>
    <row r="297" spans="1:6" x14ac:dyDescent="0.2">
      <c r="A297" s="230" t="s">
        <v>682</v>
      </c>
      <c r="B297" s="231"/>
      <c r="C297" s="231" t="s">
        <v>683</v>
      </c>
      <c r="D297" s="228">
        <v>130677</v>
      </c>
      <c r="E297" s="228">
        <v>18369</v>
      </c>
      <c r="F297" s="228">
        <v>149046</v>
      </c>
    </row>
    <row r="298" spans="1:6" x14ac:dyDescent="0.2">
      <c r="A298" s="232" t="s">
        <v>682</v>
      </c>
      <c r="B298" s="227" t="s">
        <v>133</v>
      </c>
      <c r="C298" s="227" t="s">
        <v>134</v>
      </c>
      <c r="D298" s="150">
        <v>130677</v>
      </c>
      <c r="E298" s="150">
        <v>18369</v>
      </c>
      <c r="F298" s="150">
        <v>149046</v>
      </c>
    </row>
    <row r="299" spans="1:6" x14ac:dyDescent="0.2">
      <c r="A299" s="230" t="s">
        <v>686</v>
      </c>
      <c r="B299" s="231"/>
      <c r="C299" s="231" t="s">
        <v>687</v>
      </c>
      <c r="D299" s="228">
        <v>4500</v>
      </c>
      <c r="E299" s="228">
        <v>0</v>
      </c>
      <c r="F299" s="228">
        <v>4500</v>
      </c>
    </row>
    <row r="300" spans="1:6" x14ac:dyDescent="0.2">
      <c r="A300" s="232" t="s">
        <v>686</v>
      </c>
      <c r="B300" s="227" t="s">
        <v>133</v>
      </c>
      <c r="C300" s="227" t="s">
        <v>134</v>
      </c>
      <c r="D300" s="150">
        <v>4500</v>
      </c>
      <c r="E300" s="150">
        <v>0</v>
      </c>
      <c r="F300" s="150">
        <v>4500</v>
      </c>
    </row>
  </sheetData>
  <autoFilter ref="A4:F300"/>
  <pageMargins left="0.70866141732283472" right="0.17" top="0.74803149606299213" bottom="0.46" header="0.31496062992125984" footer="0.17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51"/>
  <sheetViews>
    <sheetView workbookViewId="0">
      <pane ySplit="7" topLeftCell="A8" activePane="bottomLeft" state="frozen"/>
      <selection pane="bottomLeft"/>
    </sheetView>
  </sheetViews>
  <sheetFormatPr defaultRowHeight="13.15" customHeight="1" x14ac:dyDescent="0.2"/>
  <cols>
    <col min="3" max="3" width="45.28515625" customWidth="1"/>
    <col min="4" max="4" width="10.140625" customWidth="1"/>
    <col min="5" max="5" width="10.7109375" customWidth="1"/>
    <col min="7" max="7" width="32.5703125" style="176" customWidth="1"/>
  </cols>
  <sheetData>
    <row r="1" spans="1:7" ht="13.15" customHeight="1" x14ac:dyDescent="0.2">
      <c r="B1" s="87"/>
      <c r="C1" s="87"/>
      <c r="D1" s="88"/>
      <c r="E1" s="88"/>
      <c r="F1" s="88"/>
      <c r="G1" s="89"/>
    </row>
    <row r="2" spans="1:7" ht="10.9" hidden="1" customHeight="1" x14ac:dyDescent="0.2">
      <c r="B2" s="87"/>
      <c r="C2" s="87" t="s">
        <v>114</v>
      </c>
      <c r="D2" s="90">
        <f>+D3-D5-D6</f>
        <v>-1.3890000004321337</v>
      </c>
      <c r="E2" s="91">
        <f>+E3-E5-E6</f>
        <v>0.14999999944120646</v>
      </c>
      <c r="F2" s="90">
        <f>SUM(D2:E2)</f>
        <v>-1.2390000009909272</v>
      </c>
      <c r="G2" s="92"/>
    </row>
    <row r="3" spans="1:7" ht="10.9" hidden="1" customHeight="1" x14ac:dyDescent="0.2">
      <c r="B3" s="87"/>
      <c r="C3" s="87" t="s">
        <v>115</v>
      </c>
      <c r="D3" s="90">
        <f>+'[1]Tulud detailselt'!J1</f>
        <v>17671241</v>
      </c>
      <c r="E3" s="90">
        <f>+'[1]Tulud detailselt'!K1</f>
        <v>2868601.7899999996</v>
      </c>
      <c r="F3" s="90">
        <f>SUM(D3:E3)</f>
        <v>20539842.789999999</v>
      </c>
      <c r="G3" s="92"/>
    </row>
    <row r="4" spans="1:7" ht="10.9" hidden="1" customHeight="1" x14ac:dyDescent="0.2">
      <c r="B4" s="87"/>
      <c r="C4" s="87" t="s">
        <v>116</v>
      </c>
      <c r="D4" s="90">
        <v>0</v>
      </c>
      <c r="E4" s="90">
        <v>0</v>
      </c>
      <c r="F4" s="90">
        <f>SUM(D4:E4)</f>
        <v>0</v>
      </c>
      <c r="G4" s="92"/>
    </row>
    <row r="5" spans="1:7" ht="10.9" hidden="1" customHeight="1" x14ac:dyDescent="0.2">
      <c r="B5" s="87"/>
      <c r="C5" s="87" t="s">
        <v>117</v>
      </c>
      <c r="D5" s="90">
        <v>1268698</v>
      </c>
      <c r="E5" s="90">
        <v>0</v>
      </c>
      <c r="F5" s="90">
        <f>SUM(D5:E5)</f>
        <v>1268698</v>
      </c>
      <c r="G5" s="92"/>
    </row>
    <row r="6" spans="1:7" ht="10.9" hidden="1" customHeight="1" x14ac:dyDescent="0.2">
      <c r="B6" s="87"/>
      <c r="C6" s="87" t="s">
        <v>118</v>
      </c>
      <c r="D6" s="90">
        <f>+D8+D119+D128+D235+D277+D366+D376+D573+D1063</f>
        <v>16402544.389</v>
      </c>
      <c r="E6" s="90">
        <f>+E8+E119+E128+E235+E277+E366+E376+E573+E1063</f>
        <v>2868601.64</v>
      </c>
      <c r="F6" s="90">
        <f>+F8+F119+F128+F235+F277+F366+F376+F573+F1063</f>
        <v>19271146.029000003</v>
      </c>
      <c r="G6" s="92"/>
    </row>
    <row r="7" spans="1:7" ht="40.9" customHeight="1" x14ac:dyDescent="0.2">
      <c r="A7" s="93" t="s">
        <v>119</v>
      </c>
      <c r="B7" s="94" t="s">
        <v>120</v>
      </c>
      <c r="C7" s="94" t="s">
        <v>121</v>
      </c>
      <c r="D7" s="95" t="s">
        <v>122</v>
      </c>
      <c r="E7" s="95" t="s">
        <v>108</v>
      </c>
      <c r="F7" s="95" t="s">
        <v>123</v>
      </c>
      <c r="G7" s="96" t="s">
        <v>124</v>
      </c>
    </row>
    <row r="8" spans="1:7" ht="13.15" customHeight="1" x14ac:dyDescent="0.2">
      <c r="A8" s="97" t="s">
        <v>62</v>
      </c>
      <c r="B8" s="98"/>
      <c r="C8" s="98" t="s">
        <v>125</v>
      </c>
      <c r="D8" s="99">
        <f>+D9+D27+D71+D75+D84+D88+D102+D110+D114</f>
        <v>1273970</v>
      </c>
      <c r="E8" s="99">
        <f>+E9+E27+E71+E75+E84+E88+E102+E110+E114</f>
        <v>109850</v>
      </c>
      <c r="F8" s="99">
        <f>+F9+F27+F71+F75+F84+F88+F102+F110+F114</f>
        <v>1383820</v>
      </c>
      <c r="G8" s="92"/>
    </row>
    <row r="9" spans="1:7" ht="13.15" customHeight="1" x14ac:dyDescent="0.2">
      <c r="A9" s="100" t="s">
        <v>63</v>
      </c>
      <c r="B9" s="101"/>
      <c r="C9" s="101" t="s">
        <v>126</v>
      </c>
      <c r="D9" s="102">
        <f>+D10+D13</f>
        <v>109077</v>
      </c>
      <c r="E9" s="102">
        <f>+E10+E13</f>
        <v>500</v>
      </c>
      <c r="F9" s="102">
        <f>+F10+F13</f>
        <v>109577</v>
      </c>
      <c r="G9" s="92"/>
    </row>
    <row r="10" spans="1:7" ht="13.15" customHeight="1" x14ac:dyDescent="0.2">
      <c r="A10" s="103" t="s">
        <v>63</v>
      </c>
      <c r="B10" s="104" t="s">
        <v>127</v>
      </c>
      <c r="C10" s="104" t="s">
        <v>128</v>
      </c>
      <c r="D10" s="105">
        <f t="shared" ref="D10:F11" si="0">+D11</f>
        <v>0</v>
      </c>
      <c r="E10" s="105">
        <f t="shared" si="0"/>
        <v>0</v>
      </c>
      <c r="F10" s="105">
        <f t="shared" si="0"/>
        <v>0</v>
      </c>
      <c r="G10" s="92"/>
    </row>
    <row r="11" spans="1:7" ht="13.15" customHeight="1" x14ac:dyDescent="0.2">
      <c r="A11" s="106" t="s">
        <v>63</v>
      </c>
      <c r="B11" s="107" t="s">
        <v>129</v>
      </c>
      <c r="C11" s="107" t="s">
        <v>130</v>
      </c>
      <c r="D11" s="108">
        <f t="shared" si="0"/>
        <v>0</v>
      </c>
      <c r="E11" s="108">
        <f t="shared" si="0"/>
        <v>0</v>
      </c>
      <c r="F11" s="108">
        <f t="shared" si="0"/>
        <v>0</v>
      </c>
      <c r="G11" s="92"/>
    </row>
    <row r="12" spans="1:7" ht="13.15" customHeight="1" x14ac:dyDescent="0.2">
      <c r="A12" s="109" t="s">
        <v>63</v>
      </c>
      <c r="B12" s="87" t="s">
        <v>131</v>
      </c>
      <c r="C12" s="87" t="s">
        <v>132</v>
      </c>
      <c r="D12" s="110">
        <v>0</v>
      </c>
      <c r="E12" s="110"/>
      <c r="F12" s="110">
        <f>SUM(D12:E12)</f>
        <v>0</v>
      </c>
      <c r="G12" s="92"/>
    </row>
    <row r="13" spans="1:7" ht="13.15" customHeight="1" x14ac:dyDescent="0.2">
      <c r="A13" s="103" t="s">
        <v>63</v>
      </c>
      <c r="B13" s="104" t="s">
        <v>133</v>
      </c>
      <c r="C13" s="104" t="s">
        <v>134</v>
      </c>
      <c r="D13" s="105">
        <f>+D14+D19</f>
        <v>109077</v>
      </c>
      <c r="E13" s="105">
        <f>+E14+E19</f>
        <v>500</v>
      </c>
      <c r="F13" s="105">
        <f>+F14+F19</f>
        <v>109577</v>
      </c>
      <c r="G13" s="92"/>
    </row>
    <row r="14" spans="1:7" ht="13.15" customHeight="1" x14ac:dyDescent="0.2">
      <c r="A14" s="106" t="s">
        <v>63</v>
      </c>
      <c r="B14" s="107" t="s">
        <v>135</v>
      </c>
      <c r="C14" s="107" t="s">
        <v>31</v>
      </c>
      <c r="D14" s="108">
        <f>SUM(D15:D18)</f>
        <v>91177</v>
      </c>
      <c r="E14" s="108">
        <f>SUM(E15:E18)</f>
        <v>500</v>
      </c>
      <c r="F14" s="108">
        <f>SUM(F15:F18)</f>
        <v>91677</v>
      </c>
      <c r="G14" s="92"/>
    </row>
    <row r="15" spans="1:7" ht="13.15" customHeight="1" x14ac:dyDescent="0.2">
      <c r="A15" s="109" t="s">
        <v>63</v>
      </c>
      <c r="B15" s="87" t="s">
        <v>136</v>
      </c>
      <c r="C15" s="87" t="s">
        <v>137</v>
      </c>
      <c r="D15" s="110">
        <f>38361+5376+6720</f>
        <v>50457</v>
      </c>
      <c r="E15" s="110"/>
      <c r="F15" s="110">
        <f>SUM(D15:E15)</f>
        <v>50457</v>
      </c>
      <c r="G15" s="92"/>
    </row>
    <row r="16" spans="1:7" ht="13.15" customHeight="1" x14ac:dyDescent="0.2">
      <c r="A16" s="109" t="s">
        <v>63</v>
      </c>
      <c r="B16" s="87" t="s">
        <v>138</v>
      </c>
      <c r="C16" s="87" t="s">
        <v>139</v>
      </c>
      <c r="D16" s="110">
        <v>17718</v>
      </c>
      <c r="E16" s="110"/>
      <c r="F16" s="110">
        <f>SUM(D16:E16)</f>
        <v>17718</v>
      </c>
      <c r="G16" s="92"/>
    </row>
    <row r="17" spans="1:7" ht="13.15" customHeight="1" x14ac:dyDescent="0.2">
      <c r="A17" s="109" t="s">
        <v>63</v>
      </c>
      <c r="B17" s="87" t="s">
        <v>140</v>
      </c>
      <c r="C17" s="87" t="s">
        <v>141</v>
      </c>
      <c r="D17" s="110">
        <v>300</v>
      </c>
      <c r="E17" s="110"/>
      <c r="F17" s="110">
        <f>SUM(D17:E17)</f>
        <v>300</v>
      </c>
      <c r="G17" s="92"/>
    </row>
    <row r="18" spans="1:7" ht="13.15" customHeight="1" x14ac:dyDescent="0.2">
      <c r="A18" s="109" t="s">
        <v>63</v>
      </c>
      <c r="B18" s="87" t="s">
        <v>142</v>
      </c>
      <c r="C18" s="87" t="s">
        <v>143</v>
      </c>
      <c r="D18" s="110">
        <v>22702</v>
      </c>
      <c r="E18" s="110">
        <v>500</v>
      </c>
      <c r="F18" s="110">
        <f>SUM(D18:E18)</f>
        <v>23202</v>
      </c>
      <c r="G18" s="92" t="s">
        <v>144</v>
      </c>
    </row>
    <row r="19" spans="1:7" ht="13.15" customHeight="1" x14ac:dyDescent="0.2">
      <c r="A19" s="106" t="s">
        <v>63</v>
      </c>
      <c r="B19" s="107" t="s">
        <v>145</v>
      </c>
      <c r="C19" s="107" t="s">
        <v>32</v>
      </c>
      <c r="D19" s="108">
        <f>SUM(D20:D26)</f>
        <v>17900</v>
      </c>
      <c r="E19" s="108">
        <f>SUM(E20:E26)</f>
        <v>0</v>
      </c>
      <c r="F19" s="108">
        <f>SUM(F20:F26)</f>
        <v>17900</v>
      </c>
      <c r="G19" s="92"/>
    </row>
    <row r="20" spans="1:7" ht="13.15" customHeight="1" x14ac:dyDescent="0.2">
      <c r="A20" s="109" t="s">
        <v>63</v>
      </c>
      <c r="B20" s="87" t="s">
        <v>146</v>
      </c>
      <c r="C20" s="87" t="s">
        <v>147</v>
      </c>
      <c r="D20" s="110">
        <v>7400</v>
      </c>
      <c r="E20" s="110"/>
      <c r="F20" s="110">
        <f t="shared" ref="F20:F26" si="1">SUM(D20:E20)</f>
        <v>7400</v>
      </c>
      <c r="G20" s="92"/>
    </row>
    <row r="21" spans="1:7" ht="13.15" customHeight="1" x14ac:dyDescent="0.2">
      <c r="A21" s="109" t="s">
        <v>63</v>
      </c>
      <c r="B21" s="87" t="s">
        <v>148</v>
      </c>
      <c r="C21" s="87" t="s">
        <v>149</v>
      </c>
      <c r="D21" s="110">
        <v>3200</v>
      </c>
      <c r="E21" s="110"/>
      <c r="F21" s="110">
        <f t="shared" si="1"/>
        <v>3200</v>
      </c>
      <c r="G21" s="92"/>
    </row>
    <row r="22" spans="1:7" ht="13.15" customHeight="1" x14ac:dyDescent="0.2">
      <c r="A22" s="109" t="s">
        <v>63</v>
      </c>
      <c r="B22" s="87" t="s">
        <v>150</v>
      </c>
      <c r="C22" s="87" t="s">
        <v>151</v>
      </c>
      <c r="D22" s="110">
        <v>1800</v>
      </c>
      <c r="E22" s="110"/>
      <c r="F22" s="110">
        <f t="shared" si="1"/>
        <v>1800</v>
      </c>
      <c r="G22" s="92"/>
    </row>
    <row r="23" spans="1:7" ht="13.15" customHeight="1" x14ac:dyDescent="0.2">
      <c r="A23" s="109" t="s">
        <v>63</v>
      </c>
      <c r="B23" s="87" t="s">
        <v>152</v>
      </c>
      <c r="C23" s="87" t="s">
        <v>153</v>
      </c>
      <c r="D23" s="110">
        <v>3900</v>
      </c>
      <c r="E23" s="110"/>
      <c r="F23" s="110">
        <f t="shared" si="1"/>
        <v>3900</v>
      </c>
      <c r="G23" s="92"/>
    </row>
    <row r="24" spans="1:7" ht="13.15" customHeight="1" x14ac:dyDescent="0.2">
      <c r="A24" s="109" t="s">
        <v>63</v>
      </c>
      <c r="B24" s="87" t="s">
        <v>154</v>
      </c>
      <c r="C24" s="87" t="s">
        <v>155</v>
      </c>
      <c r="D24" s="110">
        <v>600</v>
      </c>
      <c r="E24" s="110"/>
      <c r="F24" s="110">
        <f t="shared" si="1"/>
        <v>600</v>
      </c>
      <c r="G24" s="92"/>
    </row>
    <row r="25" spans="1:7" ht="13.15" customHeight="1" x14ac:dyDescent="0.2">
      <c r="A25" s="109" t="s">
        <v>63</v>
      </c>
      <c r="B25" s="87" t="s">
        <v>156</v>
      </c>
      <c r="C25" s="87" t="s">
        <v>157</v>
      </c>
      <c r="D25" s="110">
        <v>800</v>
      </c>
      <c r="E25" s="110"/>
      <c r="F25" s="110">
        <f t="shared" si="1"/>
        <v>800</v>
      </c>
      <c r="G25" s="92"/>
    </row>
    <row r="26" spans="1:7" ht="13.15" customHeight="1" x14ac:dyDescent="0.2">
      <c r="A26" s="109" t="s">
        <v>63</v>
      </c>
      <c r="B26" s="87" t="s">
        <v>158</v>
      </c>
      <c r="C26" s="87" t="s">
        <v>159</v>
      </c>
      <c r="D26" s="110">
        <v>200</v>
      </c>
      <c r="E26" s="110"/>
      <c r="F26" s="110">
        <f t="shared" si="1"/>
        <v>200</v>
      </c>
      <c r="G26" s="92"/>
    </row>
    <row r="27" spans="1:7" ht="13.15" customHeight="1" x14ac:dyDescent="0.2">
      <c r="A27" s="100" t="s">
        <v>64</v>
      </c>
      <c r="B27" s="101"/>
      <c r="C27" s="101" t="s">
        <v>160</v>
      </c>
      <c r="D27" s="102">
        <f>+D28+D33+D36+D65</f>
        <v>619780</v>
      </c>
      <c r="E27" s="102">
        <f>+E28+E33+E36+E65</f>
        <v>107100</v>
      </c>
      <c r="F27" s="102">
        <f>+F28+F33+F36+F65</f>
        <v>726880</v>
      </c>
      <c r="G27" s="92"/>
    </row>
    <row r="28" spans="1:7" ht="13.15" customHeight="1" x14ac:dyDescent="0.2">
      <c r="A28" s="103" t="s">
        <v>64</v>
      </c>
      <c r="B28" s="104" t="s">
        <v>127</v>
      </c>
      <c r="C28" s="104" t="s">
        <v>128</v>
      </c>
      <c r="D28" s="105">
        <f>+D29+D33</f>
        <v>0</v>
      </c>
      <c r="E28" s="105">
        <f>+E29+E33</f>
        <v>100000</v>
      </c>
      <c r="F28" s="105">
        <f>+F29+F33</f>
        <v>100000</v>
      </c>
      <c r="G28" s="92"/>
    </row>
    <row r="29" spans="1:7" ht="13.15" customHeight="1" x14ac:dyDescent="0.2">
      <c r="A29" s="106" t="s">
        <v>64</v>
      </c>
      <c r="B29" s="107" t="s">
        <v>129</v>
      </c>
      <c r="C29" s="107" t="s">
        <v>130</v>
      </c>
      <c r="D29" s="108">
        <f>SUM(D30:D32)</f>
        <v>0</v>
      </c>
      <c r="E29" s="108">
        <f>SUM(E30:E32)</f>
        <v>100000</v>
      </c>
      <c r="F29" s="108">
        <f>SUM(F30:F32)</f>
        <v>100000</v>
      </c>
      <c r="G29" s="92"/>
    </row>
    <row r="30" spans="1:7" ht="13.15" customHeight="1" x14ac:dyDescent="0.2">
      <c r="A30" s="109" t="s">
        <v>64</v>
      </c>
      <c r="B30" s="87" t="s">
        <v>161</v>
      </c>
      <c r="C30" s="87" t="s">
        <v>162</v>
      </c>
      <c r="D30" s="110">
        <v>0</v>
      </c>
      <c r="E30" s="110"/>
      <c r="F30" s="110">
        <f>SUM(D30:E30)</f>
        <v>0</v>
      </c>
      <c r="G30" s="92"/>
    </row>
    <row r="31" spans="1:7" ht="13.15" customHeight="1" x14ac:dyDescent="0.2">
      <c r="A31" s="109" t="s">
        <v>64</v>
      </c>
      <c r="B31" s="87" t="s">
        <v>163</v>
      </c>
      <c r="C31" s="87" t="s">
        <v>164</v>
      </c>
      <c r="D31" s="110">
        <v>0</v>
      </c>
      <c r="E31" s="110">
        <v>100000</v>
      </c>
      <c r="F31" s="110">
        <f>SUM(D31:E31)</f>
        <v>100000</v>
      </c>
      <c r="G31" s="92" t="s">
        <v>165</v>
      </c>
    </row>
    <row r="32" spans="1:7" ht="13.15" customHeight="1" x14ac:dyDescent="0.2">
      <c r="A32" s="109" t="s">
        <v>64</v>
      </c>
      <c r="B32" s="87" t="s">
        <v>131</v>
      </c>
      <c r="C32" s="87" t="s">
        <v>132</v>
      </c>
      <c r="D32" s="110">
        <v>0</v>
      </c>
      <c r="E32" s="110"/>
      <c r="F32" s="110">
        <f>SUM(D32:E32)</f>
        <v>0</v>
      </c>
      <c r="G32" s="92"/>
    </row>
    <row r="33" spans="1:7" ht="13.15" customHeight="1" x14ac:dyDescent="0.2">
      <c r="A33" s="103" t="s">
        <v>64</v>
      </c>
      <c r="B33" s="104" t="s">
        <v>166</v>
      </c>
      <c r="C33" s="104" t="s">
        <v>167</v>
      </c>
      <c r="D33" s="105">
        <f t="shared" ref="D33:F34" si="2">+D34</f>
        <v>0</v>
      </c>
      <c r="E33" s="105">
        <f t="shared" si="2"/>
        <v>0</v>
      </c>
      <c r="F33" s="105">
        <f t="shared" si="2"/>
        <v>0</v>
      </c>
      <c r="G33" s="92"/>
    </row>
    <row r="34" spans="1:7" ht="13.15" customHeight="1" x14ac:dyDescent="0.2">
      <c r="A34" s="106" t="s">
        <v>64</v>
      </c>
      <c r="B34" s="107" t="s">
        <v>168</v>
      </c>
      <c r="C34" s="107" t="s">
        <v>169</v>
      </c>
      <c r="D34" s="108">
        <f t="shared" si="2"/>
        <v>0</v>
      </c>
      <c r="E34" s="108">
        <f t="shared" si="2"/>
        <v>0</v>
      </c>
      <c r="F34" s="108">
        <f t="shared" si="2"/>
        <v>0</v>
      </c>
      <c r="G34" s="92"/>
    </row>
    <row r="35" spans="1:7" ht="13.15" customHeight="1" x14ac:dyDescent="0.2">
      <c r="A35" s="109" t="s">
        <v>64</v>
      </c>
      <c r="B35" s="87" t="s">
        <v>170</v>
      </c>
      <c r="C35" s="87" t="s">
        <v>171</v>
      </c>
      <c r="D35" s="110">
        <v>0</v>
      </c>
      <c r="E35" s="110"/>
      <c r="F35" s="110">
        <f>SUM(D35:E35)</f>
        <v>0</v>
      </c>
      <c r="G35" s="92"/>
    </row>
    <row r="36" spans="1:7" ht="13.15" customHeight="1" x14ac:dyDescent="0.2">
      <c r="A36" s="103" t="s">
        <v>64</v>
      </c>
      <c r="B36" s="104" t="s">
        <v>133</v>
      </c>
      <c r="C36" s="104" t="s">
        <v>134</v>
      </c>
      <c r="D36" s="105">
        <f>+D37+D44</f>
        <v>617780</v>
      </c>
      <c r="E36" s="105">
        <f>+E37+E44</f>
        <v>6000</v>
      </c>
      <c r="F36" s="105">
        <f>+F37+F44</f>
        <v>623780</v>
      </c>
      <c r="G36" s="92"/>
    </row>
    <row r="37" spans="1:7" ht="13.15" customHeight="1" x14ac:dyDescent="0.2">
      <c r="A37" s="106" t="s">
        <v>64</v>
      </c>
      <c r="B37" s="107" t="s">
        <v>135</v>
      </c>
      <c r="C37" s="107" t="s">
        <v>31</v>
      </c>
      <c r="D37" s="108">
        <f>SUM(D38:D43)</f>
        <v>410780</v>
      </c>
      <c r="E37" s="108">
        <f>SUM(E38:E43)</f>
        <v>6000</v>
      </c>
      <c r="F37" s="108">
        <f>SUM(F38:F43)</f>
        <v>416780</v>
      </c>
      <c r="G37" s="92"/>
    </row>
    <row r="38" spans="1:7" ht="13.15" customHeight="1" x14ac:dyDescent="0.2">
      <c r="A38" s="109" t="s">
        <v>64</v>
      </c>
      <c r="B38" s="87" t="s">
        <v>136</v>
      </c>
      <c r="C38" s="87" t="s">
        <v>137</v>
      </c>
      <c r="D38" s="110">
        <v>123057</v>
      </c>
      <c r="E38" s="110"/>
      <c r="F38" s="110">
        <f t="shared" ref="F38:F43" si="3">SUM(D38:E38)</f>
        <v>123057</v>
      </c>
      <c r="G38" s="92"/>
    </row>
    <row r="39" spans="1:7" ht="13.15" customHeight="1" x14ac:dyDescent="0.2">
      <c r="A39" s="109" t="s">
        <v>64</v>
      </c>
      <c r="B39" s="87" t="s">
        <v>172</v>
      </c>
      <c r="C39" s="87" t="s">
        <v>173</v>
      </c>
      <c r="D39" s="110">
        <v>83373</v>
      </c>
      <c r="E39" s="110"/>
      <c r="F39" s="110">
        <f t="shared" si="3"/>
        <v>83373</v>
      </c>
      <c r="G39" s="92"/>
    </row>
    <row r="40" spans="1:7" ht="13.15" customHeight="1" x14ac:dyDescent="0.2">
      <c r="A40" s="109" t="s">
        <v>64</v>
      </c>
      <c r="B40" s="87" t="s">
        <v>138</v>
      </c>
      <c r="C40" s="87" t="s">
        <v>139</v>
      </c>
      <c r="D40" s="110">
        <v>88590</v>
      </c>
      <c r="E40" s="110"/>
      <c r="F40" s="110">
        <f t="shared" si="3"/>
        <v>88590</v>
      </c>
      <c r="G40" s="92"/>
    </row>
    <row r="41" spans="1:7" ht="13.15" customHeight="1" x14ac:dyDescent="0.2">
      <c r="A41" s="109" t="s">
        <v>64</v>
      </c>
      <c r="B41" s="87" t="s">
        <v>174</v>
      </c>
      <c r="C41" s="87" t="s">
        <v>175</v>
      </c>
      <c r="D41" s="110">
        <v>5640</v>
      </c>
      <c r="E41" s="110"/>
      <c r="F41" s="110">
        <f t="shared" si="3"/>
        <v>5640</v>
      </c>
      <c r="G41" s="92"/>
    </row>
    <row r="42" spans="1:7" ht="13.15" customHeight="1" x14ac:dyDescent="0.2">
      <c r="A42" s="109" t="s">
        <v>64</v>
      </c>
      <c r="B42" s="87" t="s">
        <v>140</v>
      </c>
      <c r="C42" s="87" t="s">
        <v>141</v>
      </c>
      <c r="D42" s="110">
        <v>10000</v>
      </c>
      <c r="E42" s="110"/>
      <c r="F42" s="110">
        <f t="shared" si="3"/>
        <v>10000</v>
      </c>
      <c r="G42" s="92"/>
    </row>
    <row r="43" spans="1:7" ht="13.15" customHeight="1" x14ac:dyDescent="0.2">
      <c r="A43" s="109" t="s">
        <v>64</v>
      </c>
      <c r="B43" s="87" t="s">
        <v>142</v>
      </c>
      <c r="C43" s="87" t="s">
        <v>143</v>
      </c>
      <c r="D43" s="110">
        <v>100120</v>
      </c>
      <c r="E43" s="110">
        <v>6000</v>
      </c>
      <c r="F43" s="110">
        <f t="shared" si="3"/>
        <v>106120</v>
      </c>
      <c r="G43" s="92" t="s">
        <v>144</v>
      </c>
    </row>
    <row r="44" spans="1:7" ht="13.15" customHeight="1" x14ac:dyDescent="0.2">
      <c r="A44" s="106" t="s">
        <v>64</v>
      </c>
      <c r="B44" s="107" t="s">
        <v>145</v>
      </c>
      <c r="C44" s="107" t="s">
        <v>32</v>
      </c>
      <c r="D44" s="108">
        <f>SUM(D45:D64)-D48</f>
        <v>207000</v>
      </c>
      <c r="E44" s="108">
        <f>SUM(E45:E64)-E48</f>
        <v>0</v>
      </c>
      <c r="F44" s="108">
        <f>SUM(F45:F64)-F48</f>
        <v>207000</v>
      </c>
      <c r="G44" s="92"/>
    </row>
    <row r="45" spans="1:7" ht="13.15" customHeight="1" x14ac:dyDescent="0.2">
      <c r="A45" s="109" t="s">
        <v>64</v>
      </c>
      <c r="B45" s="87" t="s">
        <v>146</v>
      </c>
      <c r="C45" s="87" t="s">
        <v>147</v>
      </c>
      <c r="D45" s="110">
        <v>45000</v>
      </c>
      <c r="E45" s="110"/>
      <c r="F45" s="110">
        <f>SUM(D45:E45)</f>
        <v>45000</v>
      </c>
      <c r="G45" s="92"/>
    </row>
    <row r="46" spans="1:7" ht="13.15" customHeight="1" x14ac:dyDescent="0.2">
      <c r="A46" s="109" t="s">
        <v>64</v>
      </c>
      <c r="B46" s="87" t="s">
        <v>148</v>
      </c>
      <c r="C46" s="87" t="s">
        <v>149</v>
      </c>
      <c r="D46" s="110">
        <v>10000</v>
      </c>
      <c r="E46" s="110"/>
      <c r="F46" s="110">
        <f>SUM(D46:E46)</f>
        <v>10000</v>
      </c>
      <c r="G46" s="92"/>
    </row>
    <row r="47" spans="1:7" ht="13.15" customHeight="1" x14ac:dyDescent="0.2">
      <c r="A47" s="109" t="s">
        <v>64</v>
      </c>
      <c r="B47" s="87" t="s">
        <v>150</v>
      </c>
      <c r="C47" s="87" t="s">
        <v>151</v>
      </c>
      <c r="D47" s="110">
        <v>9000</v>
      </c>
      <c r="E47" s="110"/>
      <c r="F47" s="110">
        <f>SUM(D47:E47)</f>
        <v>9000</v>
      </c>
      <c r="G47" s="92"/>
    </row>
    <row r="48" spans="1:7" ht="13.15" customHeight="1" x14ac:dyDescent="0.2">
      <c r="A48" s="111" t="s">
        <v>64</v>
      </c>
      <c r="B48" s="112" t="s">
        <v>176</v>
      </c>
      <c r="C48" s="112" t="s">
        <v>177</v>
      </c>
      <c r="D48" s="113">
        <f>SUM(D49:D57)</f>
        <v>69000</v>
      </c>
      <c r="E48" s="113">
        <f>SUM(E49:E57)</f>
        <v>0</v>
      </c>
      <c r="F48" s="113">
        <f>SUM(F49:F57)</f>
        <v>69000</v>
      </c>
      <c r="G48" s="92"/>
    </row>
    <row r="49" spans="1:7" ht="13.15" customHeight="1" x14ac:dyDescent="0.2">
      <c r="A49" s="114" t="s">
        <v>64</v>
      </c>
      <c r="B49" s="115" t="s">
        <v>178</v>
      </c>
      <c r="C49" s="115" t="s">
        <v>179</v>
      </c>
      <c r="D49" s="116">
        <v>8000</v>
      </c>
      <c r="E49" s="116"/>
      <c r="F49" s="116">
        <f t="shared" ref="F49:F64" si="4">SUM(D49:E49)</f>
        <v>8000</v>
      </c>
      <c r="G49" s="92"/>
    </row>
    <row r="50" spans="1:7" ht="13.15" customHeight="1" x14ac:dyDescent="0.2">
      <c r="A50" s="114" t="s">
        <v>64</v>
      </c>
      <c r="B50" s="115" t="s">
        <v>180</v>
      </c>
      <c r="C50" s="115" t="s">
        <v>75</v>
      </c>
      <c r="D50" s="116">
        <v>3000</v>
      </c>
      <c r="E50" s="116"/>
      <c r="F50" s="116">
        <f t="shared" si="4"/>
        <v>3000</v>
      </c>
      <c r="G50" s="92"/>
    </row>
    <row r="51" spans="1:7" ht="13.15" customHeight="1" x14ac:dyDescent="0.2">
      <c r="A51" s="114" t="s">
        <v>64</v>
      </c>
      <c r="B51" s="115" t="s">
        <v>181</v>
      </c>
      <c r="C51" s="115" t="s">
        <v>182</v>
      </c>
      <c r="D51" s="116">
        <v>3000</v>
      </c>
      <c r="E51" s="116"/>
      <c r="F51" s="116">
        <f t="shared" si="4"/>
        <v>3000</v>
      </c>
      <c r="G51" s="92"/>
    </row>
    <row r="52" spans="1:7" ht="13.15" customHeight="1" x14ac:dyDescent="0.2">
      <c r="A52" s="114" t="s">
        <v>64</v>
      </c>
      <c r="B52" s="115" t="s">
        <v>183</v>
      </c>
      <c r="C52" s="115" t="s">
        <v>184</v>
      </c>
      <c r="D52" s="116">
        <v>6000</v>
      </c>
      <c r="E52" s="116"/>
      <c r="F52" s="116">
        <f t="shared" si="4"/>
        <v>6000</v>
      </c>
      <c r="G52" s="92"/>
    </row>
    <row r="53" spans="1:7" ht="13.15" customHeight="1" x14ac:dyDescent="0.2">
      <c r="A53" s="114" t="s">
        <v>64</v>
      </c>
      <c r="B53" s="115" t="s">
        <v>185</v>
      </c>
      <c r="C53" s="115" t="s">
        <v>186</v>
      </c>
      <c r="D53" s="116">
        <v>32000</v>
      </c>
      <c r="E53" s="116"/>
      <c r="F53" s="116">
        <f t="shared" si="4"/>
        <v>32000</v>
      </c>
      <c r="G53" s="92"/>
    </row>
    <row r="54" spans="1:7" ht="13.15" customHeight="1" x14ac:dyDescent="0.2">
      <c r="A54" s="114" t="s">
        <v>64</v>
      </c>
      <c r="B54" s="115" t="s">
        <v>187</v>
      </c>
      <c r="C54" s="115" t="s">
        <v>188</v>
      </c>
      <c r="D54" s="116">
        <v>2000</v>
      </c>
      <c r="E54" s="116"/>
      <c r="F54" s="116">
        <f t="shared" si="4"/>
        <v>2000</v>
      </c>
      <c r="G54" s="92"/>
    </row>
    <row r="55" spans="1:7" ht="13.15" customHeight="1" x14ac:dyDescent="0.2">
      <c r="A55" s="114" t="s">
        <v>64</v>
      </c>
      <c r="B55" s="115" t="s">
        <v>189</v>
      </c>
      <c r="C55" s="115" t="s">
        <v>190</v>
      </c>
      <c r="D55" s="116">
        <v>14000</v>
      </c>
      <c r="E55" s="116"/>
      <c r="F55" s="116">
        <f t="shared" si="4"/>
        <v>14000</v>
      </c>
      <c r="G55" s="92"/>
    </row>
    <row r="56" spans="1:7" ht="13.15" customHeight="1" x14ac:dyDescent="0.2">
      <c r="A56" s="114" t="s">
        <v>64</v>
      </c>
      <c r="B56" s="115" t="s">
        <v>191</v>
      </c>
      <c r="C56" s="115" t="s">
        <v>192</v>
      </c>
      <c r="D56" s="116">
        <v>1000</v>
      </c>
      <c r="E56" s="116"/>
      <c r="F56" s="116">
        <f t="shared" si="4"/>
        <v>1000</v>
      </c>
      <c r="G56" s="92"/>
    </row>
    <row r="57" spans="1:7" ht="13.15" customHeight="1" x14ac:dyDescent="0.2">
      <c r="A57" s="114" t="s">
        <v>64</v>
      </c>
      <c r="B57" s="115" t="s">
        <v>193</v>
      </c>
      <c r="C57" s="115" t="s">
        <v>194</v>
      </c>
      <c r="D57" s="116">
        <v>0</v>
      </c>
      <c r="E57" s="116"/>
      <c r="F57" s="116">
        <f t="shared" si="4"/>
        <v>0</v>
      </c>
      <c r="G57" s="92"/>
    </row>
    <row r="58" spans="1:7" ht="13.15" customHeight="1" x14ac:dyDescent="0.2">
      <c r="A58" s="109" t="s">
        <v>64</v>
      </c>
      <c r="B58" s="87" t="s">
        <v>152</v>
      </c>
      <c r="C58" s="87" t="s">
        <v>153</v>
      </c>
      <c r="D58" s="110">
        <v>36000</v>
      </c>
      <c r="E58" s="110"/>
      <c r="F58" s="110">
        <f t="shared" si="4"/>
        <v>36000</v>
      </c>
      <c r="G58" s="92"/>
    </row>
    <row r="59" spans="1:7" ht="13.15" customHeight="1" x14ac:dyDescent="0.2">
      <c r="A59" s="109" t="s">
        <v>64</v>
      </c>
      <c r="B59" s="87" t="s">
        <v>154</v>
      </c>
      <c r="C59" s="87" t="s">
        <v>155</v>
      </c>
      <c r="D59" s="110">
        <v>20000</v>
      </c>
      <c r="E59" s="110"/>
      <c r="F59" s="110">
        <f t="shared" si="4"/>
        <v>20000</v>
      </c>
      <c r="G59" s="92"/>
    </row>
    <row r="60" spans="1:7" ht="13.15" customHeight="1" x14ac:dyDescent="0.2">
      <c r="A60" s="109" t="s">
        <v>64</v>
      </c>
      <c r="B60" s="87" t="s">
        <v>156</v>
      </c>
      <c r="C60" s="87" t="s">
        <v>157</v>
      </c>
      <c r="D60" s="110">
        <v>10000</v>
      </c>
      <c r="E60" s="110"/>
      <c r="F60" s="110">
        <f t="shared" si="4"/>
        <v>10000</v>
      </c>
      <c r="G60" s="92"/>
    </row>
    <row r="61" spans="1:7" ht="13.15" customHeight="1" x14ac:dyDescent="0.2">
      <c r="A61" s="109" t="s">
        <v>64</v>
      </c>
      <c r="B61" s="87" t="s">
        <v>158</v>
      </c>
      <c r="C61" s="87" t="s">
        <v>159</v>
      </c>
      <c r="D61" s="110">
        <v>2000</v>
      </c>
      <c r="E61" s="110"/>
      <c r="F61" s="110">
        <f t="shared" si="4"/>
        <v>2000</v>
      </c>
      <c r="G61" s="92"/>
    </row>
    <row r="62" spans="1:7" ht="13.15" customHeight="1" x14ac:dyDescent="0.2">
      <c r="A62" s="109" t="s">
        <v>64</v>
      </c>
      <c r="B62" s="87" t="s">
        <v>195</v>
      </c>
      <c r="C62" s="87" t="s">
        <v>196</v>
      </c>
      <c r="D62" s="110">
        <v>3000</v>
      </c>
      <c r="E62" s="110"/>
      <c r="F62" s="110">
        <f t="shared" si="4"/>
        <v>3000</v>
      </c>
      <c r="G62" s="92"/>
    </row>
    <row r="63" spans="1:7" ht="13.15" customHeight="1" x14ac:dyDescent="0.2">
      <c r="A63" s="109" t="s">
        <v>64</v>
      </c>
      <c r="B63" s="87" t="s">
        <v>197</v>
      </c>
      <c r="C63" s="87" t="s">
        <v>198</v>
      </c>
      <c r="D63" s="110">
        <v>2000</v>
      </c>
      <c r="E63" s="110"/>
      <c r="F63" s="110">
        <f t="shared" si="4"/>
        <v>2000</v>
      </c>
      <c r="G63" s="92"/>
    </row>
    <row r="64" spans="1:7" ht="13.15" customHeight="1" x14ac:dyDescent="0.2">
      <c r="A64" s="109" t="s">
        <v>64</v>
      </c>
      <c r="B64" s="87" t="s">
        <v>199</v>
      </c>
      <c r="C64" s="87" t="s">
        <v>200</v>
      </c>
      <c r="D64" s="110">
        <v>1000</v>
      </c>
      <c r="E64" s="110"/>
      <c r="F64" s="110">
        <f t="shared" si="4"/>
        <v>1000</v>
      </c>
      <c r="G64" s="92"/>
    </row>
    <row r="65" spans="1:7" ht="13.15" customHeight="1" x14ac:dyDescent="0.2">
      <c r="A65" s="103" t="s">
        <v>64</v>
      </c>
      <c r="B65" s="104" t="s">
        <v>201</v>
      </c>
      <c r="C65" s="104" t="s">
        <v>33</v>
      </c>
      <c r="D65" s="105">
        <f>+D66</f>
        <v>2000</v>
      </c>
      <c r="E65" s="105">
        <f>+E66</f>
        <v>1100</v>
      </c>
      <c r="F65" s="105">
        <f>+F66</f>
        <v>3100</v>
      </c>
      <c r="G65" s="92"/>
    </row>
    <row r="66" spans="1:7" ht="13.15" customHeight="1" x14ac:dyDescent="0.2">
      <c r="A66" s="106" t="s">
        <v>64</v>
      </c>
      <c r="B66" s="107" t="s">
        <v>202</v>
      </c>
      <c r="C66" s="107" t="s">
        <v>203</v>
      </c>
      <c r="D66" s="108">
        <f>+D67+D70</f>
        <v>2000</v>
      </c>
      <c r="E66" s="108">
        <f>+E67+E70</f>
        <v>1100</v>
      </c>
      <c r="F66" s="108">
        <f>+F67+F70</f>
        <v>3100</v>
      </c>
      <c r="G66" s="92"/>
    </row>
    <row r="67" spans="1:7" ht="13.15" customHeight="1" x14ac:dyDescent="0.2">
      <c r="A67" s="111" t="s">
        <v>64</v>
      </c>
      <c r="B67" s="112" t="s">
        <v>204</v>
      </c>
      <c r="C67" s="112" t="s">
        <v>205</v>
      </c>
      <c r="D67" s="113">
        <f>SUM(D68:D69)</f>
        <v>1700</v>
      </c>
      <c r="E67" s="113">
        <f>SUM(E68:E69)</f>
        <v>1100</v>
      </c>
      <c r="F67" s="113">
        <f>SUM(F68:F69)</f>
        <v>2800</v>
      </c>
      <c r="G67" s="92"/>
    </row>
    <row r="68" spans="1:7" ht="13.15" customHeight="1" x14ac:dyDescent="0.2">
      <c r="A68" s="114" t="s">
        <v>64</v>
      </c>
      <c r="B68" s="115" t="s">
        <v>206</v>
      </c>
      <c r="C68" s="115" t="s">
        <v>4</v>
      </c>
      <c r="D68" s="116">
        <v>900</v>
      </c>
      <c r="E68" s="116">
        <v>1100</v>
      </c>
      <c r="F68" s="116">
        <f>SUM(D68:E68)</f>
        <v>2000</v>
      </c>
      <c r="G68" s="92" t="s">
        <v>207</v>
      </c>
    </row>
    <row r="69" spans="1:7" ht="13.15" customHeight="1" x14ac:dyDescent="0.2">
      <c r="A69" s="114" t="s">
        <v>64</v>
      </c>
      <c r="B69" s="115" t="s">
        <v>208</v>
      </c>
      <c r="C69" s="115" t="s">
        <v>209</v>
      </c>
      <c r="D69" s="116">
        <v>800</v>
      </c>
      <c r="E69" s="116"/>
      <c r="F69" s="116">
        <f>SUM(D69:E69)</f>
        <v>800</v>
      </c>
      <c r="G69" s="92"/>
    </row>
    <row r="70" spans="1:7" ht="13.15" customHeight="1" x14ac:dyDescent="0.2">
      <c r="A70" s="109" t="s">
        <v>64</v>
      </c>
      <c r="B70" s="87" t="s">
        <v>210</v>
      </c>
      <c r="C70" s="87" t="s">
        <v>30</v>
      </c>
      <c r="D70" s="110">
        <v>300</v>
      </c>
      <c r="E70" s="110"/>
      <c r="F70" s="110">
        <f>SUM(D70:E70)</f>
        <v>300</v>
      </c>
      <c r="G70" s="92"/>
    </row>
    <row r="71" spans="1:7" ht="13.15" customHeight="1" x14ac:dyDescent="0.2">
      <c r="A71" s="100" t="s">
        <v>65</v>
      </c>
      <c r="B71" s="101"/>
      <c r="C71" s="101" t="s">
        <v>211</v>
      </c>
      <c r="D71" s="102">
        <f t="shared" ref="D71:F73" si="5">+D72</f>
        <v>45000</v>
      </c>
      <c r="E71" s="102">
        <f t="shared" si="5"/>
        <v>0</v>
      </c>
      <c r="F71" s="102">
        <f t="shared" si="5"/>
        <v>45000</v>
      </c>
      <c r="G71" s="92"/>
    </row>
    <row r="72" spans="1:7" ht="13.15" customHeight="1" x14ac:dyDescent="0.2">
      <c r="A72" s="103" t="s">
        <v>65</v>
      </c>
      <c r="B72" s="104" t="s">
        <v>201</v>
      </c>
      <c r="C72" s="104" t="s">
        <v>33</v>
      </c>
      <c r="D72" s="105">
        <f t="shared" si="5"/>
        <v>45000</v>
      </c>
      <c r="E72" s="105">
        <f t="shared" si="5"/>
        <v>0</v>
      </c>
      <c r="F72" s="105">
        <f t="shared" si="5"/>
        <v>45000</v>
      </c>
      <c r="G72" s="92"/>
    </row>
    <row r="73" spans="1:7" ht="13.15" customHeight="1" x14ac:dyDescent="0.2">
      <c r="A73" s="106" t="s">
        <v>65</v>
      </c>
      <c r="B73" s="107" t="s">
        <v>202</v>
      </c>
      <c r="C73" s="107" t="s">
        <v>203</v>
      </c>
      <c r="D73" s="108">
        <f t="shared" si="5"/>
        <v>45000</v>
      </c>
      <c r="E73" s="108">
        <f t="shared" si="5"/>
        <v>0</v>
      </c>
      <c r="F73" s="108">
        <f t="shared" si="5"/>
        <v>45000</v>
      </c>
      <c r="G73" s="92"/>
    </row>
    <row r="74" spans="1:7" ht="13.15" customHeight="1" x14ac:dyDescent="0.2">
      <c r="A74" s="109" t="s">
        <v>65</v>
      </c>
      <c r="B74" s="87" t="s">
        <v>212</v>
      </c>
      <c r="C74" s="87" t="s">
        <v>66</v>
      </c>
      <c r="D74" s="110">
        <v>45000</v>
      </c>
      <c r="E74" s="110"/>
      <c r="F74" s="110">
        <f>SUM(D74:E74)</f>
        <v>45000</v>
      </c>
      <c r="G74" s="92"/>
    </row>
    <row r="75" spans="1:7" ht="13.15" customHeight="1" x14ac:dyDescent="0.2">
      <c r="A75" s="100" t="s">
        <v>213</v>
      </c>
      <c r="B75" s="101"/>
      <c r="C75" s="101" t="s">
        <v>214</v>
      </c>
      <c r="D75" s="102">
        <f>+D76</f>
        <v>150042</v>
      </c>
      <c r="E75" s="102">
        <f>+E76</f>
        <v>600</v>
      </c>
      <c r="F75" s="102">
        <f>+F76</f>
        <v>150642</v>
      </c>
      <c r="G75" s="92"/>
    </row>
    <row r="76" spans="1:7" ht="13.15" customHeight="1" x14ac:dyDescent="0.2">
      <c r="A76" s="103" t="s">
        <v>213</v>
      </c>
      <c r="B76" s="104" t="s">
        <v>133</v>
      </c>
      <c r="C76" s="104" t="s">
        <v>134</v>
      </c>
      <c r="D76" s="105">
        <f>+D77+D80</f>
        <v>150042</v>
      </c>
      <c r="E76" s="105">
        <f>+E77+E80</f>
        <v>600</v>
      </c>
      <c r="F76" s="105">
        <f>+F77+F80</f>
        <v>150642</v>
      </c>
      <c r="G76" s="92"/>
    </row>
    <row r="77" spans="1:7" ht="13.15" customHeight="1" x14ac:dyDescent="0.2">
      <c r="A77" s="106" t="s">
        <v>213</v>
      </c>
      <c r="B77" s="107" t="s">
        <v>135</v>
      </c>
      <c r="C77" s="107" t="s">
        <v>31</v>
      </c>
      <c r="D77" s="108">
        <f>SUM(D78:D79)</f>
        <v>134524</v>
      </c>
      <c r="E77" s="108">
        <f>SUM(E78:E79)</f>
        <v>600</v>
      </c>
      <c r="F77" s="108">
        <f>SUM(F78:F79)</f>
        <v>135124</v>
      </c>
      <c r="G77" s="92"/>
    </row>
    <row r="78" spans="1:7" ht="13.15" customHeight="1" x14ac:dyDescent="0.2">
      <c r="A78" s="109" t="s">
        <v>213</v>
      </c>
      <c r="B78" s="87" t="s">
        <v>138</v>
      </c>
      <c r="C78" s="87" t="s">
        <v>139</v>
      </c>
      <c r="D78" s="110">
        <v>100918</v>
      </c>
      <c r="E78" s="110"/>
      <c r="F78" s="110">
        <f>SUM(D78:E78)</f>
        <v>100918</v>
      </c>
      <c r="G78" s="92"/>
    </row>
    <row r="79" spans="1:7" ht="13.15" customHeight="1" x14ac:dyDescent="0.2">
      <c r="A79" s="109" t="s">
        <v>213</v>
      </c>
      <c r="B79" s="87" t="s">
        <v>142</v>
      </c>
      <c r="C79" s="87" t="s">
        <v>143</v>
      </c>
      <c r="D79" s="110">
        <v>33606</v>
      </c>
      <c r="E79" s="110">
        <v>600</v>
      </c>
      <c r="F79" s="110">
        <f>SUM(D79:E79)</f>
        <v>34206</v>
      </c>
      <c r="G79" s="92" t="s">
        <v>144</v>
      </c>
    </row>
    <row r="80" spans="1:7" ht="13.15" customHeight="1" x14ac:dyDescent="0.2">
      <c r="A80" s="106" t="s">
        <v>213</v>
      </c>
      <c r="B80" s="107" t="s">
        <v>145</v>
      </c>
      <c r="C80" s="107" t="s">
        <v>32</v>
      </c>
      <c r="D80" s="108">
        <f>SUM(D81:D83)</f>
        <v>15518</v>
      </c>
      <c r="E80" s="108">
        <f>SUM(E81:E83)</f>
        <v>0</v>
      </c>
      <c r="F80" s="108">
        <f>SUM(F81:F83)</f>
        <v>15518</v>
      </c>
      <c r="G80" s="92"/>
    </row>
    <row r="81" spans="1:7" ht="13.15" customHeight="1" x14ac:dyDescent="0.2">
      <c r="A81" s="109" t="s">
        <v>213</v>
      </c>
      <c r="B81" s="87" t="s">
        <v>146</v>
      </c>
      <c r="C81" s="87" t="s">
        <v>147</v>
      </c>
      <c r="D81" s="110">
        <v>400</v>
      </c>
      <c r="E81" s="110"/>
      <c r="F81" s="110">
        <f>SUM(D81:E81)</f>
        <v>400</v>
      </c>
      <c r="G81" s="92"/>
    </row>
    <row r="82" spans="1:7" ht="13.15" customHeight="1" x14ac:dyDescent="0.2">
      <c r="A82" s="109" t="s">
        <v>213</v>
      </c>
      <c r="B82" s="87" t="s">
        <v>150</v>
      </c>
      <c r="C82" s="87" t="s">
        <v>151</v>
      </c>
      <c r="D82" s="110">
        <v>618</v>
      </c>
      <c r="E82" s="110"/>
      <c r="F82" s="110">
        <f>SUM(D82:E82)</f>
        <v>618</v>
      </c>
      <c r="G82" s="92"/>
    </row>
    <row r="83" spans="1:7" ht="13.15" customHeight="1" x14ac:dyDescent="0.2">
      <c r="A83" s="109" t="s">
        <v>213</v>
      </c>
      <c r="B83" s="87" t="s">
        <v>154</v>
      </c>
      <c r="C83" s="87" t="s">
        <v>155</v>
      </c>
      <c r="D83" s="110">
        <v>14500</v>
      </c>
      <c r="E83" s="110"/>
      <c r="F83" s="110">
        <f>SUM(D83:E83)</f>
        <v>14500</v>
      </c>
      <c r="G83" s="92"/>
    </row>
    <row r="84" spans="1:7" ht="13.15" customHeight="1" x14ac:dyDescent="0.2">
      <c r="A84" s="100" t="s">
        <v>215</v>
      </c>
      <c r="B84" s="101"/>
      <c r="C84" s="101" t="s">
        <v>216</v>
      </c>
      <c r="D84" s="102">
        <f t="shared" ref="D84:F86" si="6">+D85</f>
        <v>0</v>
      </c>
      <c r="E84" s="102">
        <f t="shared" si="6"/>
        <v>0</v>
      </c>
      <c r="F84" s="102">
        <f t="shared" si="6"/>
        <v>0</v>
      </c>
      <c r="G84" s="92"/>
    </row>
    <row r="85" spans="1:7" ht="13.15" customHeight="1" x14ac:dyDescent="0.2">
      <c r="A85" s="103" t="s">
        <v>215</v>
      </c>
      <c r="B85" s="104" t="s">
        <v>133</v>
      </c>
      <c r="C85" s="104" t="s">
        <v>134</v>
      </c>
      <c r="D85" s="105">
        <f t="shared" si="6"/>
        <v>0</v>
      </c>
      <c r="E85" s="105">
        <f t="shared" si="6"/>
        <v>0</v>
      </c>
      <c r="F85" s="105">
        <f t="shared" si="6"/>
        <v>0</v>
      </c>
      <c r="G85" s="92"/>
    </row>
    <row r="86" spans="1:7" ht="13.15" customHeight="1" x14ac:dyDescent="0.2">
      <c r="A86" s="106" t="s">
        <v>215</v>
      </c>
      <c r="B86" s="107" t="s">
        <v>145</v>
      </c>
      <c r="C86" s="107" t="s">
        <v>32</v>
      </c>
      <c r="D86" s="108">
        <f t="shared" si="6"/>
        <v>0</v>
      </c>
      <c r="E86" s="108">
        <f t="shared" si="6"/>
        <v>0</v>
      </c>
      <c r="F86" s="108">
        <f t="shared" si="6"/>
        <v>0</v>
      </c>
      <c r="G86" s="92"/>
    </row>
    <row r="87" spans="1:7" ht="13.15" customHeight="1" x14ac:dyDescent="0.2">
      <c r="A87" s="109" t="s">
        <v>215</v>
      </c>
      <c r="B87" s="87" t="s">
        <v>154</v>
      </c>
      <c r="C87" s="87" t="s">
        <v>155</v>
      </c>
      <c r="D87" s="110">
        <v>0</v>
      </c>
      <c r="E87" s="110"/>
      <c r="F87" s="110">
        <f>SUM(D87:E87)</f>
        <v>0</v>
      </c>
      <c r="G87" s="92"/>
    </row>
    <row r="88" spans="1:7" ht="13.15" customHeight="1" x14ac:dyDescent="0.2">
      <c r="A88" s="100" t="s">
        <v>217</v>
      </c>
      <c r="B88" s="101"/>
      <c r="C88" s="101" t="s">
        <v>218</v>
      </c>
      <c r="D88" s="102">
        <f>+D89+D92</f>
        <v>180151</v>
      </c>
      <c r="E88" s="102">
        <f>+E89+E92</f>
        <v>600</v>
      </c>
      <c r="F88" s="102">
        <f>+F89+F92</f>
        <v>180751</v>
      </c>
      <c r="G88" s="92"/>
    </row>
    <row r="89" spans="1:7" ht="13.15" customHeight="1" x14ac:dyDescent="0.2">
      <c r="A89" s="103" t="s">
        <v>217</v>
      </c>
      <c r="B89" s="104" t="s">
        <v>166</v>
      </c>
      <c r="C89" s="104" t="s">
        <v>167</v>
      </c>
      <c r="D89" s="105">
        <f t="shared" ref="D89:F90" si="7">+D90</f>
        <v>4530</v>
      </c>
      <c r="E89" s="105">
        <f t="shared" si="7"/>
        <v>0</v>
      </c>
      <c r="F89" s="105">
        <f t="shared" si="7"/>
        <v>4530</v>
      </c>
      <c r="G89" s="92"/>
    </row>
    <row r="90" spans="1:7" ht="13.15" customHeight="1" x14ac:dyDescent="0.2">
      <c r="A90" s="106" t="s">
        <v>217</v>
      </c>
      <c r="B90" s="107" t="s">
        <v>219</v>
      </c>
      <c r="C90" s="107" t="s">
        <v>220</v>
      </c>
      <c r="D90" s="108">
        <f t="shared" si="7"/>
        <v>4530</v>
      </c>
      <c r="E90" s="108">
        <f t="shared" si="7"/>
        <v>0</v>
      </c>
      <c r="F90" s="108">
        <f t="shared" si="7"/>
        <v>4530</v>
      </c>
      <c r="G90" s="92"/>
    </row>
    <row r="91" spans="1:7" ht="13.15" customHeight="1" x14ac:dyDescent="0.2">
      <c r="A91" s="109" t="s">
        <v>217</v>
      </c>
      <c r="B91" s="87" t="s">
        <v>221</v>
      </c>
      <c r="C91" s="87" t="s">
        <v>222</v>
      </c>
      <c r="D91" s="110">
        <v>4530</v>
      </c>
      <c r="E91" s="110"/>
      <c r="F91" s="110">
        <f>SUM(D91:E91)</f>
        <v>4530</v>
      </c>
      <c r="G91" s="92"/>
    </row>
    <row r="92" spans="1:7" ht="13.15" customHeight="1" x14ac:dyDescent="0.2">
      <c r="A92" s="103" t="s">
        <v>217</v>
      </c>
      <c r="B92" s="104" t="s">
        <v>133</v>
      </c>
      <c r="C92" s="104" t="s">
        <v>134</v>
      </c>
      <c r="D92" s="105">
        <f>+D93+D97</f>
        <v>175621</v>
      </c>
      <c r="E92" s="105">
        <f>+E93+E97</f>
        <v>600</v>
      </c>
      <c r="F92" s="105">
        <f>+F93+F97</f>
        <v>176221</v>
      </c>
      <c r="G92" s="92"/>
    </row>
    <row r="93" spans="1:7" ht="13.15" customHeight="1" x14ac:dyDescent="0.2">
      <c r="A93" s="106" t="s">
        <v>217</v>
      </c>
      <c r="B93" s="107" t="s">
        <v>135</v>
      </c>
      <c r="C93" s="107" t="s">
        <v>31</v>
      </c>
      <c r="D93" s="108">
        <f>SUM(D94:D96)</f>
        <v>143621</v>
      </c>
      <c r="E93" s="108">
        <f>SUM(E94:E96)</f>
        <v>600</v>
      </c>
      <c r="F93" s="108">
        <f>SUM(F94:F96)</f>
        <v>144221</v>
      </c>
      <c r="G93" s="92"/>
    </row>
    <row r="94" spans="1:7" ht="13.15" customHeight="1" x14ac:dyDescent="0.2">
      <c r="A94" s="109" t="s">
        <v>217</v>
      </c>
      <c r="B94" s="87" t="s">
        <v>172</v>
      </c>
      <c r="C94" s="87" t="s">
        <v>173</v>
      </c>
      <c r="D94" s="110">
        <v>62444</v>
      </c>
      <c r="E94" s="110"/>
      <c r="F94" s="110">
        <f>SUM(D94:E94)</f>
        <v>62444</v>
      </c>
      <c r="G94" s="92"/>
    </row>
    <row r="95" spans="1:7" ht="13.15" customHeight="1" x14ac:dyDescent="0.2">
      <c r="A95" s="109" t="s">
        <v>217</v>
      </c>
      <c r="B95" s="87" t="s">
        <v>138</v>
      </c>
      <c r="C95" s="87" t="s">
        <v>139</v>
      </c>
      <c r="D95" s="110">
        <v>45299</v>
      </c>
      <c r="E95" s="110"/>
      <c r="F95" s="110">
        <f>SUM(D95:E95)</f>
        <v>45299</v>
      </c>
      <c r="G95" s="92"/>
    </row>
    <row r="96" spans="1:7" ht="13.15" customHeight="1" x14ac:dyDescent="0.2">
      <c r="A96" s="109" t="s">
        <v>217</v>
      </c>
      <c r="B96" s="87" t="s">
        <v>142</v>
      </c>
      <c r="C96" s="87" t="s">
        <v>143</v>
      </c>
      <c r="D96" s="110">
        <v>35878</v>
      </c>
      <c r="E96" s="110">
        <v>600</v>
      </c>
      <c r="F96" s="110">
        <f>SUM(D96:E96)</f>
        <v>36478</v>
      </c>
      <c r="G96" s="92" t="s">
        <v>144</v>
      </c>
    </row>
    <row r="97" spans="1:7" ht="13.15" customHeight="1" x14ac:dyDescent="0.2">
      <c r="A97" s="106" t="s">
        <v>217</v>
      </c>
      <c r="B97" s="107" t="s">
        <v>145</v>
      </c>
      <c r="C97" s="107" t="s">
        <v>32</v>
      </c>
      <c r="D97" s="108">
        <f>SUM(D98:D101)</f>
        <v>32000</v>
      </c>
      <c r="E97" s="108">
        <f>SUM(E98:E101)</f>
        <v>0</v>
      </c>
      <c r="F97" s="108">
        <f>SUM(F98:F101)</f>
        <v>32000</v>
      </c>
      <c r="G97" s="92"/>
    </row>
    <row r="98" spans="1:7" ht="13.15" customHeight="1" x14ac:dyDescent="0.2">
      <c r="A98" s="109" t="s">
        <v>217</v>
      </c>
      <c r="B98" s="87" t="s">
        <v>146</v>
      </c>
      <c r="C98" s="87" t="s">
        <v>147</v>
      </c>
      <c r="D98" s="110">
        <v>7000</v>
      </c>
      <c r="E98" s="110"/>
      <c r="F98" s="110">
        <f>SUM(D98:E98)</f>
        <v>7000</v>
      </c>
      <c r="G98" s="92"/>
    </row>
    <row r="99" spans="1:7" ht="13.15" customHeight="1" x14ac:dyDescent="0.2">
      <c r="A99" s="109" t="s">
        <v>217</v>
      </c>
      <c r="B99" s="87" t="s">
        <v>223</v>
      </c>
      <c r="C99" s="87" t="s">
        <v>224</v>
      </c>
      <c r="D99" s="110">
        <v>24000</v>
      </c>
      <c r="E99" s="110"/>
      <c r="F99" s="110">
        <f>SUM(D99:E99)</f>
        <v>24000</v>
      </c>
      <c r="G99" s="92"/>
    </row>
    <row r="100" spans="1:7" ht="13.15" customHeight="1" x14ac:dyDescent="0.2">
      <c r="A100" s="109" t="s">
        <v>217</v>
      </c>
      <c r="B100" s="87" t="s">
        <v>148</v>
      </c>
      <c r="C100" s="87" t="s">
        <v>149</v>
      </c>
      <c r="D100" s="110">
        <v>500</v>
      </c>
      <c r="E100" s="110"/>
      <c r="F100" s="110">
        <f>SUM(D100:E100)</f>
        <v>500</v>
      </c>
      <c r="G100" s="92"/>
    </row>
    <row r="101" spans="1:7" ht="13.15" customHeight="1" x14ac:dyDescent="0.2">
      <c r="A101" s="109" t="s">
        <v>217</v>
      </c>
      <c r="B101" s="87" t="s">
        <v>150</v>
      </c>
      <c r="C101" s="87" t="s">
        <v>151</v>
      </c>
      <c r="D101" s="110">
        <v>500</v>
      </c>
      <c r="E101" s="110"/>
      <c r="F101" s="110">
        <f>SUM(D101:E101)</f>
        <v>500</v>
      </c>
      <c r="G101" s="92"/>
    </row>
    <row r="102" spans="1:7" ht="13.15" customHeight="1" x14ac:dyDescent="0.2">
      <c r="A102" s="100" t="s">
        <v>67</v>
      </c>
      <c r="B102" s="101"/>
      <c r="C102" s="101" t="s">
        <v>225</v>
      </c>
      <c r="D102" s="102">
        <f>+D103</f>
        <v>17000</v>
      </c>
      <c r="E102" s="102">
        <f>+E103</f>
        <v>50</v>
      </c>
      <c r="F102" s="102">
        <f>+F103</f>
        <v>17050</v>
      </c>
      <c r="G102" s="92"/>
    </row>
    <row r="103" spans="1:7" ht="13.15" customHeight="1" x14ac:dyDescent="0.2">
      <c r="A103" s="103" t="s">
        <v>67</v>
      </c>
      <c r="B103" s="104" t="s">
        <v>133</v>
      </c>
      <c r="C103" s="104" t="s">
        <v>134</v>
      </c>
      <c r="D103" s="105">
        <f>+D104+D107</f>
        <v>17000</v>
      </c>
      <c r="E103" s="105">
        <f>+E104+E107</f>
        <v>50</v>
      </c>
      <c r="F103" s="105">
        <f>+F104+F107</f>
        <v>17050</v>
      </c>
      <c r="G103" s="92"/>
    </row>
    <row r="104" spans="1:7" ht="13.15" customHeight="1" x14ac:dyDescent="0.2">
      <c r="A104" s="106" t="s">
        <v>67</v>
      </c>
      <c r="B104" s="107" t="s">
        <v>135</v>
      </c>
      <c r="C104" s="107" t="s">
        <v>31</v>
      </c>
      <c r="D104" s="108">
        <f>SUM(D105:D106)</f>
        <v>11900</v>
      </c>
      <c r="E104" s="108">
        <f>SUM(E105:E106)</f>
        <v>50</v>
      </c>
      <c r="F104" s="108">
        <f>SUM(F105:F106)</f>
        <v>11950</v>
      </c>
      <c r="G104" s="92"/>
    </row>
    <row r="105" spans="1:7" ht="13.15" customHeight="1" x14ac:dyDescent="0.2">
      <c r="A105" s="109" t="s">
        <v>67</v>
      </c>
      <c r="B105" s="87" t="s">
        <v>174</v>
      </c>
      <c r="C105" s="87" t="s">
        <v>175</v>
      </c>
      <c r="D105" s="110">
        <v>8900</v>
      </c>
      <c r="E105" s="110"/>
      <c r="F105" s="110">
        <f>SUM(D105:E105)</f>
        <v>8900</v>
      </c>
      <c r="G105" s="92"/>
    </row>
    <row r="106" spans="1:7" ht="13.15" customHeight="1" x14ac:dyDescent="0.2">
      <c r="A106" s="109" t="s">
        <v>67</v>
      </c>
      <c r="B106" s="87" t="s">
        <v>142</v>
      </c>
      <c r="C106" s="87" t="s">
        <v>143</v>
      </c>
      <c r="D106" s="110">
        <v>3000</v>
      </c>
      <c r="E106" s="110">
        <v>50</v>
      </c>
      <c r="F106" s="110">
        <f>SUM(D106:E106)</f>
        <v>3050</v>
      </c>
      <c r="G106" s="92" t="s">
        <v>144</v>
      </c>
    </row>
    <row r="107" spans="1:7" ht="13.15" customHeight="1" x14ac:dyDescent="0.2">
      <c r="A107" s="106" t="s">
        <v>67</v>
      </c>
      <c r="B107" s="107" t="s">
        <v>145</v>
      </c>
      <c r="C107" s="107" t="s">
        <v>32</v>
      </c>
      <c r="D107" s="108">
        <f>SUM(D108:D109)</f>
        <v>5100</v>
      </c>
      <c r="E107" s="108">
        <f>SUM(E108:E109)</f>
        <v>0</v>
      </c>
      <c r="F107" s="108">
        <f>SUM(F108:F109)</f>
        <v>5100</v>
      </c>
      <c r="G107" s="92"/>
    </row>
    <row r="108" spans="1:7" ht="13.15" customHeight="1" x14ac:dyDescent="0.2">
      <c r="A108" s="109" t="s">
        <v>67</v>
      </c>
      <c r="B108" s="87" t="s">
        <v>146</v>
      </c>
      <c r="C108" s="87" t="s">
        <v>147</v>
      </c>
      <c r="D108" s="110">
        <v>300</v>
      </c>
      <c r="E108" s="110"/>
      <c r="F108" s="110">
        <f>SUM(D108:E108)</f>
        <v>300</v>
      </c>
      <c r="G108" s="92"/>
    </row>
    <row r="109" spans="1:7" ht="13.15" customHeight="1" x14ac:dyDescent="0.2">
      <c r="A109" s="109" t="s">
        <v>67</v>
      </c>
      <c r="B109" s="87" t="s">
        <v>156</v>
      </c>
      <c r="C109" s="87" t="s">
        <v>157</v>
      </c>
      <c r="D109" s="110">
        <v>4800</v>
      </c>
      <c r="E109" s="110"/>
      <c r="F109" s="110">
        <f>SUM(D109:E109)</f>
        <v>4800</v>
      </c>
      <c r="G109" s="92"/>
    </row>
    <row r="110" spans="1:7" ht="13.15" customHeight="1" x14ac:dyDescent="0.2">
      <c r="A110" s="100" t="s">
        <v>68</v>
      </c>
      <c r="B110" s="101"/>
      <c r="C110" s="101" t="s">
        <v>69</v>
      </c>
      <c r="D110" s="102">
        <f t="shared" ref="D110:F111" si="8">+D111</f>
        <v>130000</v>
      </c>
      <c r="E110" s="102">
        <f t="shared" si="8"/>
        <v>0</v>
      </c>
      <c r="F110" s="102">
        <f t="shared" si="8"/>
        <v>130000</v>
      </c>
      <c r="G110" s="92"/>
    </row>
    <row r="111" spans="1:7" ht="13.15" customHeight="1" x14ac:dyDescent="0.2">
      <c r="A111" s="103" t="s">
        <v>68</v>
      </c>
      <c r="B111" s="104" t="s">
        <v>201</v>
      </c>
      <c r="C111" s="104" t="s">
        <v>33</v>
      </c>
      <c r="D111" s="105">
        <f t="shared" si="8"/>
        <v>130000</v>
      </c>
      <c r="E111" s="105">
        <f t="shared" si="8"/>
        <v>0</v>
      </c>
      <c r="F111" s="105">
        <f t="shared" si="8"/>
        <v>130000</v>
      </c>
      <c r="G111" s="92"/>
    </row>
    <row r="112" spans="1:7" ht="13.15" customHeight="1" x14ac:dyDescent="0.2">
      <c r="A112" s="106" t="s">
        <v>68</v>
      </c>
      <c r="B112" s="107" t="s">
        <v>226</v>
      </c>
      <c r="C112" s="107" t="s">
        <v>227</v>
      </c>
      <c r="D112" s="108">
        <f>SUM(D113:D113)</f>
        <v>130000</v>
      </c>
      <c r="E112" s="108">
        <f>SUM(E113:E113)</f>
        <v>0</v>
      </c>
      <c r="F112" s="108">
        <f>SUM(F113:F113)</f>
        <v>130000</v>
      </c>
      <c r="G112" s="92"/>
    </row>
    <row r="113" spans="1:7" ht="13.15" customHeight="1" x14ac:dyDescent="0.2">
      <c r="A113" s="109" t="s">
        <v>68</v>
      </c>
      <c r="B113" s="87" t="s">
        <v>228</v>
      </c>
      <c r="C113" s="87" t="s">
        <v>229</v>
      </c>
      <c r="D113" s="110">
        <v>130000</v>
      </c>
      <c r="E113" s="110"/>
      <c r="F113" s="110">
        <f>SUM(D113:E113)</f>
        <v>130000</v>
      </c>
      <c r="G113" s="92"/>
    </row>
    <row r="114" spans="1:7" ht="13.15" customHeight="1" x14ac:dyDescent="0.2">
      <c r="A114" s="100" t="s">
        <v>230</v>
      </c>
      <c r="B114" s="101"/>
      <c r="C114" s="101" t="s">
        <v>231</v>
      </c>
      <c r="D114" s="102">
        <f t="shared" ref="D114:F115" si="9">+D115</f>
        <v>22920</v>
      </c>
      <c r="E114" s="102">
        <f t="shared" si="9"/>
        <v>1000</v>
      </c>
      <c r="F114" s="102">
        <f t="shared" si="9"/>
        <v>23920</v>
      </c>
      <c r="G114" s="92"/>
    </row>
    <row r="115" spans="1:7" ht="13.15" customHeight="1" x14ac:dyDescent="0.2">
      <c r="A115" s="103" t="s">
        <v>230</v>
      </c>
      <c r="B115" s="104" t="s">
        <v>166</v>
      </c>
      <c r="C115" s="104" t="s">
        <v>167</v>
      </c>
      <c r="D115" s="105">
        <f t="shared" si="9"/>
        <v>22920</v>
      </c>
      <c r="E115" s="105">
        <f t="shared" si="9"/>
        <v>1000</v>
      </c>
      <c r="F115" s="105">
        <f t="shared" si="9"/>
        <v>23920</v>
      </c>
      <c r="G115" s="92"/>
    </row>
    <row r="116" spans="1:7" ht="13.15" customHeight="1" x14ac:dyDescent="0.2">
      <c r="A116" s="106" t="s">
        <v>230</v>
      </c>
      <c r="B116" s="107" t="s">
        <v>219</v>
      </c>
      <c r="C116" s="107" t="s">
        <v>220</v>
      </c>
      <c r="D116" s="108">
        <f>SUM(D117:D118)</f>
        <v>22920</v>
      </c>
      <c r="E116" s="108">
        <f>SUM(E117:E118)</f>
        <v>1000</v>
      </c>
      <c r="F116" s="108">
        <f>SUM(F117:F118)</f>
        <v>23920</v>
      </c>
      <c r="G116" s="92"/>
    </row>
    <row r="117" spans="1:7" ht="13.15" customHeight="1" x14ac:dyDescent="0.2">
      <c r="A117" s="109" t="s">
        <v>230</v>
      </c>
      <c r="B117" s="87" t="s">
        <v>232</v>
      </c>
      <c r="C117" s="87" t="s">
        <v>233</v>
      </c>
      <c r="D117" s="110">
        <v>22000</v>
      </c>
      <c r="E117" s="110">
        <v>1000</v>
      </c>
      <c r="F117" s="110">
        <f>SUM(D117:E117)</f>
        <v>23000</v>
      </c>
      <c r="G117" s="92"/>
    </row>
    <row r="118" spans="1:7" ht="13.15" customHeight="1" x14ac:dyDescent="0.2">
      <c r="A118" s="109" t="s">
        <v>230</v>
      </c>
      <c r="B118" s="87" t="s">
        <v>234</v>
      </c>
      <c r="C118" s="87" t="s">
        <v>235</v>
      </c>
      <c r="D118" s="110">
        <v>920</v>
      </c>
      <c r="E118" s="110"/>
      <c r="F118" s="110">
        <f>SUM(D118:E118)</f>
        <v>920</v>
      </c>
      <c r="G118" s="92"/>
    </row>
    <row r="119" spans="1:7" ht="13.15" customHeight="1" x14ac:dyDescent="0.2">
      <c r="A119" s="97" t="s">
        <v>70</v>
      </c>
      <c r="B119" s="98"/>
      <c r="C119" s="98" t="s">
        <v>236</v>
      </c>
      <c r="D119" s="99">
        <f t="shared" ref="D119:F120" si="10">+D120</f>
        <v>10000</v>
      </c>
      <c r="E119" s="99">
        <f t="shared" si="10"/>
        <v>50</v>
      </c>
      <c r="F119" s="99">
        <f t="shared" si="10"/>
        <v>10050</v>
      </c>
      <c r="G119" s="92"/>
    </row>
    <row r="120" spans="1:7" ht="13.15" customHeight="1" x14ac:dyDescent="0.2">
      <c r="A120" s="100" t="s">
        <v>237</v>
      </c>
      <c r="B120" s="101"/>
      <c r="C120" s="101" t="s">
        <v>238</v>
      </c>
      <c r="D120" s="102">
        <f t="shared" si="10"/>
        <v>10000</v>
      </c>
      <c r="E120" s="102">
        <f t="shared" si="10"/>
        <v>50</v>
      </c>
      <c r="F120" s="102">
        <f t="shared" si="10"/>
        <v>10050</v>
      </c>
      <c r="G120" s="92"/>
    </row>
    <row r="121" spans="1:7" ht="13.15" customHeight="1" x14ac:dyDescent="0.2">
      <c r="A121" s="103" t="s">
        <v>237</v>
      </c>
      <c r="B121" s="104" t="s">
        <v>133</v>
      </c>
      <c r="C121" s="104" t="s">
        <v>134</v>
      </c>
      <c r="D121" s="105">
        <f>+D122+D125</f>
        <v>10000</v>
      </c>
      <c r="E121" s="105">
        <f>+E122+E125</f>
        <v>50</v>
      </c>
      <c r="F121" s="105">
        <f>+F122+F125</f>
        <v>10050</v>
      </c>
      <c r="G121" s="92"/>
    </row>
    <row r="122" spans="1:7" ht="13.15" customHeight="1" x14ac:dyDescent="0.2">
      <c r="A122" s="106" t="s">
        <v>237</v>
      </c>
      <c r="B122" s="107" t="s">
        <v>135</v>
      </c>
      <c r="C122" s="107" t="s">
        <v>31</v>
      </c>
      <c r="D122" s="108">
        <f>SUM(D123:D124)</f>
        <v>6000</v>
      </c>
      <c r="E122" s="108">
        <f>SUM(E123:E124)</f>
        <v>50</v>
      </c>
      <c r="F122" s="108">
        <f>SUM(F123:F124)</f>
        <v>6050</v>
      </c>
      <c r="G122" s="92"/>
    </row>
    <row r="123" spans="1:7" ht="13.15" customHeight="1" x14ac:dyDescent="0.2">
      <c r="A123" s="109" t="s">
        <v>237</v>
      </c>
      <c r="B123" s="87" t="s">
        <v>138</v>
      </c>
      <c r="C123" s="87" t="s">
        <v>139</v>
      </c>
      <c r="D123" s="110">
        <v>4478</v>
      </c>
      <c r="E123" s="110"/>
      <c r="F123" s="110">
        <f>SUM(D123:E123)</f>
        <v>4478</v>
      </c>
      <c r="G123" s="92"/>
    </row>
    <row r="124" spans="1:7" ht="13.15" customHeight="1" x14ac:dyDescent="0.2">
      <c r="A124" s="109" t="s">
        <v>237</v>
      </c>
      <c r="B124" s="87" t="s">
        <v>142</v>
      </c>
      <c r="C124" s="87" t="s">
        <v>143</v>
      </c>
      <c r="D124" s="110">
        <v>1522</v>
      </c>
      <c r="E124" s="110">
        <v>50</v>
      </c>
      <c r="F124" s="110">
        <f>SUM(D124:E124)</f>
        <v>1572</v>
      </c>
      <c r="G124" s="92" t="s">
        <v>144</v>
      </c>
    </row>
    <row r="125" spans="1:7" ht="13.15" customHeight="1" x14ac:dyDescent="0.2">
      <c r="A125" s="106" t="s">
        <v>237</v>
      </c>
      <c r="B125" s="107" t="s">
        <v>145</v>
      </c>
      <c r="C125" s="107" t="s">
        <v>32</v>
      </c>
      <c r="D125" s="108">
        <f>SUM(D126:D127)</f>
        <v>4000</v>
      </c>
      <c r="E125" s="108">
        <f>SUM(E126:E127)</f>
        <v>0</v>
      </c>
      <c r="F125" s="108">
        <f>SUM(F126:F127)</f>
        <v>4000</v>
      </c>
      <c r="G125" s="92"/>
    </row>
    <row r="126" spans="1:7" ht="13.15" customHeight="1" x14ac:dyDescent="0.2">
      <c r="A126" s="109" t="s">
        <v>237</v>
      </c>
      <c r="B126" s="87" t="s">
        <v>154</v>
      </c>
      <c r="C126" s="87" t="s">
        <v>155</v>
      </c>
      <c r="D126" s="110">
        <v>2800</v>
      </c>
      <c r="E126" s="110">
        <v>1200</v>
      </c>
      <c r="F126" s="110">
        <f>SUM(D126:E126)</f>
        <v>4000</v>
      </c>
      <c r="G126" s="117"/>
    </row>
    <row r="127" spans="1:7" ht="13.15" customHeight="1" x14ac:dyDescent="0.2">
      <c r="A127" s="109" t="s">
        <v>237</v>
      </c>
      <c r="B127" s="87" t="s">
        <v>156</v>
      </c>
      <c r="C127" s="87" t="s">
        <v>157</v>
      </c>
      <c r="D127" s="110">
        <v>1200</v>
      </c>
      <c r="E127" s="110">
        <v>-1200</v>
      </c>
      <c r="F127" s="110">
        <f>SUM(D127:E127)</f>
        <v>0</v>
      </c>
      <c r="G127" s="92"/>
    </row>
    <row r="128" spans="1:7" ht="13.15" customHeight="1" x14ac:dyDescent="0.2">
      <c r="A128" s="97" t="s">
        <v>71</v>
      </c>
      <c r="B128" s="98"/>
      <c r="C128" s="98" t="s">
        <v>239</v>
      </c>
      <c r="D128" s="99">
        <f t="shared" ref="D128:F128" si="11">+D129+D134+D140+D150+D157+D162+D170+D190+D198+D202+D213+D222</f>
        <v>1286932</v>
      </c>
      <c r="E128" s="99">
        <f t="shared" si="11"/>
        <v>770205.78</v>
      </c>
      <c r="F128" s="99">
        <f t="shared" si="11"/>
        <v>2057137.78</v>
      </c>
      <c r="G128" s="89"/>
    </row>
    <row r="129" spans="1:7" ht="13.15" customHeight="1" x14ac:dyDescent="0.2">
      <c r="A129" s="100" t="s">
        <v>72</v>
      </c>
      <c r="B129" s="101"/>
      <c r="C129" s="101" t="s">
        <v>240</v>
      </c>
      <c r="D129" s="102">
        <f t="shared" ref="D129:F130" si="12">+D130</f>
        <v>320</v>
      </c>
      <c r="E129" s="102">
        <f t="shared" si="12"/>
        <v>0</v>
      </c>
      <c r="F129" s="102">
        <f t="shared" si="12"/>
        <v>320</v>
      </c>
      <c r="G129" s="92"/>
    </row>
    <row r="130" spans="1:7" ht="13.15" customHeight="1" x14ac:dyDescent="0.2">
      <c r="A130" s="103" t="s">
        <v>72</v>
      </c>
      <c r="B130" s="104" t="s">
        <v>133</v>
      </c>
      <c r="C130" s="104" t="s">
        <v>134</v>
      </c>
      <c r="D130" s="105">
        <f t="shared" si="12"/>
        <v>320</v>
      </c>
      <c r="E130" s="105">
        <f t="shared" si="12"/>
        <v>0</v>
      </c>
      <c r="F130" s="105">
        <f t="shared" si="12"/>
        <v>320</v>
      </c>
      <c r="G130" s="92"/>
    </row>
    <row r="131" spans="1:7" ht="13.15" customHeight="1" x14ac:dyDescent="0.2">
      <c r="A131" s="106" t="s">
        <v>72</v>
      </c>
      <c r="B131" s="107" t="s">
        <v>145</v>
      </c>
      <c r="C131" s="107" t="s">
        <v>32</v>
      </c>
      <c r="D131" s="108">
        <f>SUM(D132:D133)</f>
        <v>320</v>
      </c>
      <c r="E131" s="108">
        <f>SUM(E132:E133)</f>
        <v>0</v>
      </c>
      <c r="F131" s="108">
        <f>SUM(F132:F133)</f>
        <v>320</v>
      </c>
      <c r="G131" s="92"/>
    </row>
    <row r="132" spans="1:7" ht="13.15" customHeight="1" x14ac:dyDescent="0.2">
      <c r="A132" s="109" t="s">
        <v>72</v>
      </c>
      <c r="B132" s="87" t="s">
        <v>146</v>
      </c>
      <c r="C132" s="87" t="s">
        <v>147</v>
      </c>
      <c r="D132" s="110">
        <v>320</v>
      </c>
      <c r="E132" s="110"/>
      <c r="F132" s="110">
        <f>SUM(D132:E132)</f>
        <v>320</v>
      </c>
      <c r="G132" s="92"/>
    </row>
    <row r="133" spans="1:7" ht="13.15" customHeight="1" x14ac:dyDescent="0.2">
      <c r="A133" s="109" t="s">
        <v>72</v>
      </c>
      <c r="B133" s="87" t="s">
        <v>199</v>
      </c>
      <c r="C133" s="87" t="s">
        <v>200</v>
      </c>
      <c r="D133" s="110">
        <v>0</v>
      </c>
      <c r="E133" s="110"/>
      <c r="F133" s="110">
        <f>SUM(D133:E133)</f>
        <v>0</v>
      </c>
      <c r="G133" s="92"/>
    </row>
    <row r="134" spans="1:7" ht="13.15" customHeight="1" x14ac:dyDescent="0.2">
      <c r="A134" s="100" t="s">
        <v>73</v>
      </c>
      <c r="B134" s="101"/>
      <c r="C134" s="101" t="s">
        <v>74</v>
      </c>
      <c r="D134" s="102">
        <f t="shared" ref="D134:F135" si="13">+D135</f>
        <v>5800</v>
      </c>
      <c r="E134" s="102">
        <f t="shared" si="13"/>
        <v>0</v>
      </c>
      <c r="F134" s="102">
        <f t="shared" si="13"/>
        <v>5800</v>
      </c>
      <c r="G134" s="92"/>
    </row>
    <row r="135" spans="1:7" ht="13.15" customHeight="1" x14ac:dyDescent="0.2">
      <c r="A135" s="103" t="s">
        <v>73</v>
      </c>
      <c r="B135" s="104" t="s">
        <v>133</v>
      </c>
      <c r="C135" s="104" t="s">
        <v>134</v>
      </c>
      <c r="D135" s="105">
        <f t="shared" si="13"/>
        <v>5800</v>
      </c>
      <c r="E135" s="105">
        <f t="shared" si="13"/>
        <v>0</v>
      </c>
      <c r="F135" s="105">
        <f t="shared" si="13"/>
        <v>5800</v>
      </c>
      <c r="G135" s="117"/>
    </row>
    <row r="136" spans="1:7" ht="13.15" customHeight="1" x14ac:dyDescent="0.2">
      <c r="A136" s="106" t="s">
        <v>73</v>
      </c>
      <c r="B136" s="107" t="s">
        <v>145</v>
      </c>
      <c r="C136" s="107" t="s">
        <v>32</v>
      </c>
      <c r="D136" s="108">
        <f>SUM(D137:D139)</f>
        <v>5800</v>
      </c>
      <c r="E136" s="108">
        <f>SUM(E137:E139)</f>
        <v>0</v>
      </c>
      <c r="F136" s="108">
        <f>SUM(F137:F139)</f>
        <v>5800</v>
      </c>
      <c r="G136" s="92"/>
    </row>
    <row r="137" spans="1:7" ht="13.15" customHeight="1" x14ac:dyDescent="0.2">
      <c r="A137" s="109" t="s">
        <v>73</v>
      </c>
      <c r="B137" s="87" t="s">
        <v>241</v>
      </c>
      <c r="C137" s="87" t="s">
        <v>242</v>
      </c>
      <c r="D137" s="110">
        <v>4800</v>
      </c>
      <c r="E137" s="110"/>
      <c r="F137" s="110">
        <f>SUM(D137:E137)</f>
        <v>4800</v>
      </c>
      <c r="G137" s="92"/>
    </row>
    <row r="138" spans="1:7" ht="13.15" customHeight="1" x14ac:dyDescent="0.2">
      <c r="A138" s="109" t="s">
        <v>73</v>
      </c>
      <c r="B138" s="87" t="s">
        <v>158</v>
      </c>
      <c r="C138" s="87" t="s">
        <v>159</v>
      </c>
      <c r="D138" s="110">
        <v>0</v>
      </c>
      <c r="E138" s="110"/>
      <c r="F138" s="110">
        <f>SUM(D138:E138)</f>
        <v>0</v>
      </c>
      <c r="G138" s="92"/>
    </row>
    <row r="139" spans="1:7" ht="13.15" customHeight="1" x14ac:dyDescent="0.2">
      <c r="A139" s="109" t="s">
        <v>73</v>
      </c>
      <c r="B139" s="87" t="s">
        <v>199</v>
      </c>
      <c r="C139" s="87" t="s">
        <v>200</v>
      </c>
      <c r="D139" s="110">
        <v>1000</v>
      </c>
      <c r="E139" s="110"/>
      <c r="F139" s="110">
        <f>SUM(D139:E139)</f>
        <v>1000</v>
      </c>
      <c r="G139" s="92"/>
    </row>
    <row r="140" spans="1:7" ht="13.15" customHeight="1" x14ac:dyDescent="0.2">
      <c r="A140" s="100" t="s">
        <v>243</v>
      </c>
      <c r="B140" s="101"/>
      <c r="C140" s="101" t="s">
        <v>244</v>
      </c>
      <c r="D140" s="102">
        <f>+D141+D145</f>
        <v>581818</v>
      </c>
      <c r="E140" s="102">
        <f>+E141+E145</f>
        <v>862290.78</v>
      </c>
      <c r="F140" s="102">
        <f>+F141+F145</f>
        <v>1444108.78</v>
      </c>
      <c r="G140" s="92" t="s">
        <v>245</v>
      </c>
    </row>
    <row r="141" spans="1:7" ht="13.15" customHeight="1" x14ac:dyDescent="0.2">
      <c r="A141" s="103" t="s">
        <v>243</v>
      </c>
      <c r="B141" s="104" t="s">
        <v>127</v>
      </c>
      <c r="C141" s="104" t="s">
        <v>128</v>
      </c>
      <c r="D141" s="105">
        <f>+D142</f>
        <v>325118</v>
      </c>
      <c r="E141" s="105">
        <f>+E142</f>
        <v>1118990.78</v>
      </c>
      <c r="F141" s="105">
        <f>+F142</f>
        <v>1444108.78</v>
      </c>
      <c r="G141" s="92"/>
    </row>
    <row r="142" spans="1:7" ht="13.15" customHeight="1" x14ac:dyDescent="0.2">
      <c r="A142" s="106" t="s">
        <v>243</v>
      </c>
      <c r="B142" s="107" t="s">
        <v>129</v>
      </c>
      <c r="C142" s="107" t="s">
        <v>130</v>
      </c>
      <c r="D142" s="108">
        <f>SUM(D143:D144)</f>
        <v>325118</v>
      </c>
      <c r="E142" s="108">
        <f>SUM(E143:E144)</f>
        <v>1118990.78</v>
      </c>
      <c r="F142" s="108">
        <f>SUM(F143:F144)</f>
        <v>1444108.78</v>
      </c>
      <c r="G142" s="92"/>
    </row>
    <row r="143" spans="1:7" ht="13.15" customHeight="1" x14ac:dyDescent="0.2">
      <c r="A143" s="109" t="s">
        <v>243</v>
      </c>
      <c r="B143" s="87" t="s">
        <v>163</v>
      </c>
      <c r="C143" s="87" t="s">
        <v>164</v>
      </c>
      <c r="D143" s="110">
        <v>325118</v>
      </c>
      <c r="E143" s="110">
        <f>-325118+310558+1100000+33550.78</f>
        <v>1118990.78</v>
      </c>
      <c r="F143" s="110">
        <f>SUM(D143:E143)</f>
        <v>1444108.78</v>
      </c>
      <c r="G143" s="118" t="s">
        <v>246</v>
      </c>
    </row>
    <row r="144" spans="1:7" ht="13.15" customHeight="1" x14ac:dyDescent="0.2">
      <c r="A144" s="109" t="s">
        <v>243</v>
      </c>
      <c r="B144" s="87" t="s">
        <v>247</v>
      </c>
      <c r="C144" s="87" t="s">
        <v>248</v>
      </c>
      <c r="D144" s="110">
        <v>0</v>
      </c>
      <c r="E144" s="110"/>
      <c r="F144" s="110">
        <f>SUM(D144:E144)</f>
        <v>0</v>
      </c>
      <c r="G144" s="119"/>
    </row>
    <row r="145" spans="1:7" ht="13.15" customHeight="1" x14ac:dyDescent="0.2">
      <c r="A145" s="103" t="s">
        <v>243</v>
      </c>
      <c r="B145" s="104" t="s">
        <v>133</v>
      </c>
      <c r="C145" s="104" t="s">
        <v>134</v>
      </c>
      <c r="D145" s="105">
        <f>+D146</f>
        <v>256700</v>
      </c>
      <c r="E145" s="105">
        <v>-256700</v>
      </c>
      <c r="F145" s="105">
        <f>+F146</f>
        <v>0</v>
      </c>
      <c r="G145" s="118" t="s">
        <v>249</v>
      </c>
    </row>
    <row r="146" spans="1:7" ht="13.15" customHeight="1" x14ac:dyDescent="0.2">
      <c r="A146" s="106" t="s">
        <v>243</v>
      </c>
      <c r="B146" s="107" t="s">
        <v>145</v>
      </c>
      <c r="C146" s="107" t="s">
        <v>32</v>
      </c>
      <c r="D146" s="108">
        <f>SUM(D147:D149)</f>
        <v>256700</v>
      </c>
      <c r="E146" s="108">
        <f>SUM(E147:E149)</f>
        <v>0</v>
      </c>
      <c r="F146" s="108">
        <f>SUM(F147:F149)</f>
        <v>0</v>
      </c>
      <c r="G146" s="92"/>
    </row>
    <row r="147" spans="1:7" ht="13.15" customHeight="1" x14ac:dyDescent="0.2">
      <c r="A147" s="109" t="s">
        <v>243</v>
      </c>
      <c r="B147" s="87" t="s">
        <v>146</v>
      </c>
      <c r="C147" s="87" t="s">
        <v>147</v>
      </c>
      <c r="D147" s="110">
        <v>0</v>
      </c>
      <c r="E147" s="110"/>
      <c r="F147" s="110">
        <f>SUM(D147:E147)</f>
        <v>0</v>
      </c>
      <c r="G147" s="92"/>
    </row>
    <row r="148" spans="1:7" ht="13.15" customHeight="1" x14ac:dyDescent="0.2">
      <c r="A148" s="109" t="s">
        <v>243</v>
      </c>
      <c r="B148" s="87" t="s">
        <v>241</v>
      </c>
      <c r="C148" s="87" t="s">
        <v>242</v>
      </c>
      <c r="D148" s="110">
        <v>256700</v>
      </c>
      <c r="E148" s="110">
        <v>0</v>
      </c>
      <c r="F148" s="110">
        <v>0</v>
      </c>
      <c r="G148" s="118"/>
    </row>
    <row r="149" spans="1:7" ht="13.15" customHeight="1" x14ac:dyDescent="0.2">
      <c r="A149" s="109" t="s">
        <v>243</v>
      </c>
      <c r="B149" s="87" t="s">
        <v>199</v>
      </c>
      <c r="C149" s="87" t="s">
        <v>200</v>
      </c>
      <c r="D149" s="110">
        <v>0</v>
      </c>
      <c r="E149" s="110"/>
      <c r="F149" s="110">
        <f>SUM(D149:E149)</f>
        <v>0</v>
      </c>
      <c r="G149" s="92"/>
    </row>
    <row r="150" spans="1:7" ht="13.15" customHeight="1" x14ac:dyDescent="0.2">
      <c r="A150" s="100" t="s">
        <v>250</v>
      </c>
      <c r="B150" s="101"/>
      <c r="C150" s="101" t="s">
        <v>251</v>
      </c>
      <c r="D150" s="102">
        <f>+D151+D154</f>
        <v>115000</v>
      </c>
      <c r="E150" s="102">
        <v>-115000</v>
      </c>
      <c r="F150" s="102">
        <v>0</v>
      </c>
      <c r="G150" s="118" t="s">
        <v>252</v>
      </c>
    </row>
    <row r="151" spans="1:7" ht="13.15" customHeight="1" x14ac:dyDescent="0.2">
      <c r="A151" s="103" t="s">
        <v>250</v>
      </c>
      <c r="B151" s="104" t="s">
        <v>127</v>
      </c>
      <c r="C151" s="104" t="s">
        <v>128</v>
      </c>
      <c r="D151" s="105">
        <f t="shared" ref="D151:F152" si="14">+D152</f>
        <v>0</v>
      </c>
      <c r="E151" s="105">
        <f t="shared" si="14"/>
        <v>0</v>
      </c>
      <c r="F151" s="105">
        <f t="shared" si="14"/>
        <v>0</v>
      </c>
      <c r="G151" s="118" t="s">
        <v>253</v>
      </c>
    </row>
    <row r="152" spans="1:7" ht="13.15" customHeight="1" x14ac:dyDescent="0.2">
      <c r="A152" s="106" t="s">
        <v>250</v>
      </c>
      <c r="B152" s="107" t="s">
        <v>129</v>
      </c>
      <c r="C152" s="107" t="s">
        <v>130</v>
      </c>
      <c r="D152" s="108">
        <f t="shared" si="14"/>
        <v>0</v>
      </c>
      <c r="E152" s="108">
        <f t="shared" si="14"/>
        <v>0</v>
      </c>
      <c r="F152" s="108">
        <f t="shared" si="14"/>
        <v>0</v>
      </c>
      <c r="G152" s="92"/>
    </row>
    <row r="153" spans="1:7" ht="13.15" customHeight="1" x14ac:dyDescent="0.2">
      <c r="A153" s="109" t="s">
        <v>250</v>
      </c>
      <c r="B153" s="87" t="s">
        <v>163</v>
      </c>
      <c r="C153" s="87" t="s">
        <v>164</v>
      </c>
      <c r="D153" s="110">
        <v>0</v>
      </c>
      <c r="E153" s="110"/>
      <c r="F153" s="110">
        <f>SUM(D153:E153)</f>
        <v>0</v>
      </c>
      <c r="G153" s="92"/>
    </row>
    <row r="154" spans="1:7" ht="13.15" customHeight="1" x14ac:dyDescent="0.2">
      <c r="A154" s="103" t="s">
        <v>250</v>
      </c>
      <c r="B154" s="104" t="s">
        <v>133</v>
      </c>
      <c r="C154" s="104" t="s">
        <v>134</v>
      </c>
      <c r="D154" s="105">
        <f>+D155</f>
        <v>115000</v>
      </c>
      <c r="E154" s="105">
        <f>+E155</f>
        <v>0</v>
      </c>
      <c r="F154" s="105">
        <f>+F155</f>
        <v>0</v>
      </c>
      <c r="G154" s="92"/>
    </row>
    <row r="155" spans="1:7" ht="13.15" customHeight="1" x14ac:dyDescent="0.2">
      <c r="A155" s="106" t="s">
        <v>250</v>
      </c>
      <c r="B155" s="107" t="s">
        <v>145</v>
      </c>
      <c r="C155" s="107" t="s">
        <v>32</v>
      </c>
      <c r="D155" s="108">
        <f>SUM(D156)</f>
        <v>115000</v>
      </c>
      <c r="E155" s="108">
        <f>SUM(E156)</f>
        <v>0</v>
      </c>
      <c r="F155" s="108">
        <f>SUM(F156)</f>
        <v>0</v>
      </c>
      <c r="G155" s="92"/>
    </row>
    <row r="156" spans="1:7" ht="13.15" customHeight="1" x14ac:dyDescent="0.2">
      <c r="A156" s="109" t="s">
        <v>250</v>
      </c>
      <c r="B156" s="87" t="s">
        <v>241</v>
      </c>
      <c r="C156" s="87" t="s">
        <v>242</v>
      </c>
      <c r="D156" s="110">
        <f>96000+19000</f>
        <v>115000</v>
      </c>
      <c r="E156" s="110">
        <v>0</v>
      </c>
      <c r="F156" s="110">
        <v>0</v>
      </c>
      <c r="G156" s="120"/>
    </row>
    <row r="157" spans="1:7" ht="13.15" customHeight="1" x14ac:dyDescent="0.2">
      <c r="A157" s="100" t="s">
        <v>254</v>
      </c>
      <c r="B157" s="101"/>
      <c r="C157" s="101" t="s">
        <v>255</v>
      </c>
      <c r="D157" s="102">
        <f t="shared" ref="D157:F158" si="15">+D158</f>
        <v>54300</v>
      </c>
      <c r="E157" s="102">
        <f t="shared" si="15"/>
        <v>5000</v>
      </c>
      <c r="F157" s="102">
        <f t="shared" si="15"/>
        <v>59300</v>
      </c>
      <c r="G157" s="117"/>
    </row>
    <row r="158" spans="1:7" ht="13.15" customHeight="1" x14ac:dyDescent="0.2">
      <c r="A158" s="103" t="s">
        <v>254</v>
      </c>
      <c r="B158" s="104" t="s">
        <v>133</v>
      </c>
      <c r="C158" s="104" t="s">
        <v>134</v>
      </c>
      <c r="D158" s="105">
        <f t="shared" si="15"/>
        <v>54300</v>
      </c>
      <c r="E158" s="105">
        <f t="shared" si="15"/>
        <v>5000</v>
      </c>
      <c r="F158" s="105">
        <f t="shared" si="15"/>
        <v>59300</v>
      </c>
      <c r="G158" s="92"/>
    </row>
    <row r="159" spans="1:7" ht="13.15" customHeight="1" x14ac:dyDescent="0.2">
      <c r="A159" s="106" t="s">
        <v>254</v>
      </c>
      <c r="B159" s="107" t="s">
        <v>145</v>
      </c>
      <c r="C159" s="107" t="s">
        <v>32</v>
      </c>
      <c r="D159" s="108">
        <f>SUM(D160:D161)</f>
        <v>54300</v>
      </c>
      <c r="E159" s="108">
        <f>SUM(E160:E161)</f>
        <v>5000</v>
      </c>
      <c r="F159" s="108">
        <f>SUM(F160:F161)</f>
        <v>59300</v>
      </c>
      <c r="G159" s="92"/>
    </row>
    <row r="160" spans="1:7" ht="13.15" customHeight="1" x14ac:dyDescent="0.2">
      <c r="A160" s="109" t="s">
        <v>254</v>
      </c>
      <c r="B160" s="87" t="s">
        <v>146</v>
      </c>
      <c r="C160" s="87" t="s">
        <v>147</v>
      </c>
      <c r="D160" s="110">
        <v>300</v>
      </c>
      <c r="E160" s="110"/>
      <c r="F160" s="110">
        <f>SUM(D160:E160)</f>
        <v>300</v>
      </c>
      <c r="G160" s="92"/>
    </row>
    <row r="161" spans="1:7" ht="13.15" customHeight="1" x14ac:dyDescent="0.2">
      <c r="A161" s="109" t="s">
        <v>254</v>
      </c>
      <c r="B161" s="87" t="s">
        <v>241</v>
      </c>
      <c r="C161" s="87" t="s">
        <v>242</v>
      </c>
      <c r="D161" s="110">
        <v>54000</v>
      </c>
      <c r="E161" s="110">
        <v>5000</v>
      </c>
      <c r="F161" s="110">
        <f>SUM(D161:E161)</f>
        <v>59000</v>
      </c>
      <c r="G161" s="118" t="s">
        <v>256</v>
      </c>
    </row>
    <row r="162" spans="1:7" ht="13.15" customHeight="1" x14ac:dyDescent="0.2">
      <c r="A162" s="100" t="s">
        <v>76</v>
      </c>
      <c r="B162" s="101"/>
      <c r="C162" s="101" t="s">
        <v>257</v>
      </c>
      <c r="D162" s="102">
        <f t="shared" ref="D162:F163" si="16">+D163</f>
        <v>150000</v>
      </c>
      <c r="E162" s="102">
        <f t="shared" si="16"/>
        <v>0</v>
      </c>
      <c r="F162" s="102">
        <f t="shared" si="16"/>
        <v>150000</v>
      </c>
      <c r="G162" s="92"/>
    </row>
    <row r="163" spans="1:7" ht="13.15" customHeight="1" x14ac:dyDescent="0.2">
      <c r="A163" s="103" t="s">
        <v>76</v>
      </c>
      <c r="B163" s="104" t="s">
        <v>166</v>
      </c>
      <c r="C163" s="104" t="s">
        <v>167</v>
      </c>
      <c r="D163" s="105">
        <f t="shared" si="16"/>
        <v>150000</v>
      </c>
      <c r="E163" s="105">
        <f t="shared" si="16"/>
        <v>0</v>
      </c>
      <c r="F163" s="105">
        <f t="shared" si="16"/>
        <v>150000</v>
      </c>
      <c r="G163" s="92"/>
    </row>
    <row r="164" spans="1:7" ht="13.15" customHeight="1" x14ac:dyDescent="0.2">
      <c r="A164" s="106" t="s">
        <v>76</v>
      </c>
      <c r="B164" s="107" t="s">
        <v>219</v>
      </c>
      <c r="C164" s="107" t="s">
        <v>220</v>
      </c>
      <c r="D164" s="108">
        <f>SUM(D165:D165)</f>
        <v>150000</v>
      </c>
      <c r="E164" s="108">
        <f>SUM(E165:E165)</f>
        <v>0</v>
      </c>
      <c r="F164" s="108">
        <f>SUM(F165:F165)</f>
        <v>150000</v>
      </c>
      <c r="G164" s="92"/>
    </row>
    <row r="165" spans="1:7" ht="13.15" customHeight="1" x14ac:dyDescent="0.2">
      <c r="A165" s="109" t="s">
        <v>76</v>
      </c>
      <c r="B165" s="87" t="s">
        <v>221</v>
      </c>
      <c r="C165" s="87" t="s">
        <v>222</v>
      </c>
      <c r="D165" s="110">
        <v>150000</v>
      </c>
      <c r="E165" s="110">
        <v>0</v>
      </c>
      <c r="F165" s="110">
        <f>SUM(D165:E165)</f>
        <v>150000</v>
      </c>
      <c r="G165" s="92"/>
    </row>
    <row r="166" spans="1:7" ht="13.15" customHeight="1" x14ac:dyDescent="0.2">
      <c r="A166" s="103" t="s">
        <v>76</v>
      </c>
      <c r="B166" s="104" t="s">
        <v>133</v>
      </c>
      <c r="C166" s="104" t="s">
        <v>134</v>
      </c>
      <c r="D166" s="105">
        <f>+D167</f>
        <v>0</v>
      </c>
      <c r="E166" s="105">
        <f>+E167</f>
        <v>0</v>
      </c>
      <c r="F166" s="105">
        <f>+F167</f>
        <v>0</v>
      </c>
      <c r="G166" s="92"/>
    </row>
    <row r="167" spans="1:7" ht="13.15" customHeight="1" x14ac:dyDescent="0.2">
      <c r="A167" s="106" t="s">
        <v>76</v>
      </c>
      <c r="B167" s="107" t="s">
        <v>145</v>
      </c>
      <c r="C167" s="107" t="s">
        <v>32</v>
      </c>
      <c r="D167" s="108">
        <f>SUM(D168:D169)</f>
        <v>0</v>
      </c>
      <c r="E167" s="108">
        <f>SUM(E168:E169)</f>
        <v>0</v>
      </c>
      <c r="F167" s="108">
        <f>SUM(F168:F169)</f>
        <v>0</v>
      </c>
      <c r="G167" s="92"/>
    </row>
    <row r="168" spans="1:7" ht="13.15" customHeight="1" x14ac:dyDescent="0.2">
      <c r="A168" s="109" t="s">
        <v>76</v>
      </c>
      <c r="B168" s="87" t="s">
        <v>241</v>
      </c>
      <c r="C168" s="87" t="s">
        <v>242</v>
      </c>
      <c r="D168" s="110">
        <v>0</v>
      </c>
      <c r="E168" s="110"/>
      <c r="F168" s="110">
        <f>SUM(D168:E168)</f>
        <v>0</v>
      </c>
      <c r="G168" s="92"/>
    </row>
    <row r="169" spans="1:7" ht="13.15" customHeight="1" x14ac:dyDescent="0.2">
      <c r="A169" s="109" t="s">
        <v>76</v>
      </c>
      <c r="B169" s="87" t="s">
        <v>156</v>
      </c>
      <c r="C169" s="87" t="s">
        <v>157</v>
      </c>
      <c r="D169" s="110">
        <v>0</v>
      </c>
      <c r="E169" s="110"/>
      <c r="F169" s="110">
        <f>SUM(D169:E169)</f>
        <v>0</v>
      </c>
      <c r="G169" s="92"/>
    </row>
    <row r="170" spans="1:7" ht="13.15" customHeight="1" x14ac:dyDescent="0.2">
      <c r="A170" s="100" t="s">
        <v>258</v>
      </c>
      <c r="B170" s="101"/>
      <c r="C170" s="101" t="s">
        <v>259</v>
      </c>
      <c r="D170" s="102">
        <f>+D171</f>
        <v>32600</v>
      </c>
      <c r="E170" s="102">
        <f>+E171</f>
        <v>950</v>
      </c>
      <c r="F170" s="102">
        <f>+F171</f>
        <v>33550</v>
      </c>
      <c r="G170" s="92"/>
    </row>
    <row r="171" spans="1:7" ht="13.15" customHeight="1" x14ac:dyDescent="0.2">
      <c r="A171" s="103" t="s">
        <v>258</v>
      </c>
      <c r="B171" s="104" t="s">
        <v>133</v>
      </c>
      <c r="C171" s="104" t="s">
        <v>134</v>
      </c>
      <c r="D171" s="105">
        <f>+D172+D175</f>
        <v>32600</v>
      </c>
      <c r="E171" s="105">
        <f>+E172+E175</f>
        <v>950</v>
      </c>
      <c r="F171" s="105">
        <f>+F172+F175</f>
        <v>33550</v>
      </c>
      <c r="G171" s="92"/>
    </row>
    <row r="172" spans="1:7" ht="13.15" customHeight="1" x14ac:dyDescent="0.2">
      <c r="A172" s="106" t="s">
        <v>258</v>
      </c>
      <c r="B172" s="107" t="s">
        <v>135</v>
      </c>
      <c r="C172" s="107" t="s">
        <v>31</v>
      </c>
      <c r="D172" s="108">
        <f>SUM(D173:D174)</f>
        <v>18480</v>
      </c>
      <c r="E172" s="108">
        <f>SUM(E173:E174)</f>
        <v>950</v>
      </c>
      <c r="F172" s="108">
        <f>SUM(F173:F174)</f>
        <v>19430</v>
      </c>
      <c r="G172" s="92"/>
    </row>
    <row r="173" spans="1:7" ht="13.15" customHeight="1" x14ac:dyDescent="0.2">
      <c r="A173" s="109" t="s">
        <v>258</v>
      </c>
      <c r="B173" s="87" t="s">
        <v>138</v>
      </c>
      <c r="C173" s="87" t="s">
        <v>139</v>
      </c>
      <c r="D173" s="110">
        <v>13864</v>
      </c>
      <c r="E173" s="110">
        <v>850</v>
      </c>
      <c r="F173" s="110">
        <f>SUM(D173:E173)</f>
        <v>14714</v>
      </c>
      <c r="G173" s="92" t="s">
        <v>260</v>
      </c>
    </row>
    <row r="174" spans="1:7" ht="13.15" customHeight="1" x14ac:dyDescent="0.2">
      <c r="A174" s="109" t="s">
        <v>258</v>
      </c>
      <c r="B174" s="87" t="s">
        <v>142</v>
      </c>
      <c r="C174" s="87" t="s">
        <v>143</v>
      </c>
      <c r="D174" s="110">
        <v>4616</v>
      </c>
      <c r="E174" s="110">
        <v>100</v>
      </c>
      <c r="F174" s="110">
        <f>SUM(D174:E174)</f>
        <v>4716</v>
      </c>
      <c r="G174" s="92" t="s">
        <v>144</v>
      </c>
    </row>
    <row r="175" spans="1:7" ht="13.15" customHeight="1" x14ac:dyDescent="0.2">
      <c r="A175" s="106" t="s">
        <v>258</v>
      </c>
      <c r="B175" s="107" t="s">
        <v>145</v>
      </c>
      <c r="C175" s="107" t="s">
        <v>32</v>
      </c>
      <c r="D175" s="108">
        <f>SUM(D176:D189)-D179</f>
        <v>14120</v>
      </c>
      <c r="E175" s="108">
        <f>SUM(E176:E189)-E179</f>
        <v>0</v>
      </c>
      <c r="F175" s="108">
        <f>SUM(F176:F189)-F179</f>
        <v>14120</v>
      </c>
      <c r="G175" s="92"/>
    </row>
    <row r="176" spans="1:7" ht="13.15" customHeight="1" x14ac:dyDescent="0.2">
      <c r="A176" s="109" t="s">
        <v>258</v>
      </c>
      <c r="B176" s="87" t="s">
        <v>146</v>
      </c>
      <c r="C176" s="87" t="s">
        <v>147</v>
      </c>
      <c r="D176" s="110">
        <v>3500</v>
      </c>
      <c r="E176" s="110"/>
      <c r="F176" s="110">
        <f>SUM(D176:E176)</f>
        <v>3500</v>
      </c>
      <c r="G176" s="92"/>
    </row>
    <row r="177" spans="1:7" ht="13.15" customHeight="1" x14ac:dyDescent="0.2">
      <c r="A177" s="109" t="s">
        <v>258</v>
      </c>
      <c r="B177" s="87" t="s">
        <v>148</v>
      </c>
      <c r="C177" s="87" t="s">
        <v>149</v>
      </c>
      <c r="D177" s="110">
        <v>150</v>
      </c>
      <c r="E177" s="110"/>
      <c r="F177" s="110">
        <f>SUM(D177:E177)</f>
        <v>150</v>
      </c>
      <c r="G177" s="92"/>
    </row>
    <row r="178" spans="1:7" ht="13.15" customHeight="1" x14ac:dyDescent="0.2">
      <c r="A178" s="109" t="s">
        <v>258</v>
      </c>
      <c r="B178" s="87" t="s">
        <v>150</v>
      </c>
      <c r="C178" s="87" t="s">
        <v>151</v>
      </c>
      <c r="D178" s="110">
        <v>0</v>
      </c>
      <c r="E178" s="110"/>
      <c r="F178" s="110">
        <f>SUM(D178:E178)</f>
        <v>0</v>
      </c>
      <c r="G178" s="92"/>
    </row>
    <row r="179" spans="1:7" ht="13.15" customHeight="1" x14ac:dyDescent="0.2">
      <c r="A179" s="111" t="s">
        <v>258</v>
      </c>
      <c r="B179" s="112" t="s">
        <v>176</v>
      </c>
      <c r="C179" s="112" t="s">
        <v>177</v>
      </c>
      <c r="D179" s="113">
        <f>SUM(D180:D186)</f>
        <v>8800</v>
      </c>
      <c r="E179" s="113">
        <f>SUM(E180:E186)</f>
        <v>0</v>
      </c>
      <c r="F179" s="113">
        <f>SUM(F180:F186)</f>
        <v>8800</v>
      </c>
      <c r="G179" s="92"/>
    </row>
    <row r="180" spans="1:7" ht="13.15" customHeight="1" x14ac:dyDescent="0.2">
      <c r="A180" s="114" t="s">
        <v>258</v>
      </c>
      <c r="B180" s="115" t="s">
        <v>178</v>
      </c>
      <c r="C180" s="115" t="s">
        <v>179</v>
      </c>
      <c r="D180" s="116">
        <v>1500</v>
      </c>
      <c r="E180" s="116"/>
      <c r="F180" s="116">
        <f t="shared" ref="F180:F189" si="17">SUM(D180:E180)</f>
        <v>1500</v>
      </c>
      <c r="G180" s="92"/>
    </row>
    <row r="181" spans="1:7" ht="13.15" customHeight="1" x14ac:dyDescent="0.2">
      <c r="A181" s="114" t="s">
        <v>258</v>
      </c>
      <c r="B181" s="115" t="s">
        <v>180</v>
      </c>
      <c r="C181" s="115" t="s">
        <v>75</v>
      </c>
      <c r="D181" s="116">
        <v>800</v>
      </c>
      <c r="E181" s="116"/>
      <c r="F181" s="116">
        <f t="shared" si="17"/>
        <v>800</v>
      </c>
      <c r="G181" s="92"/>
    </row>
    <row r="182" spans="1:7" ht="13.15" customHeight="1" x14ac:dyDescent="0.2">
      <c r="A182" s="121" t="s">
        <v>258</v>
      </c>
      <c r="B182" s="115" t="s">
        <v>181</v>
      </c>
      <c r="C182" s="115" t="s">
        <v>182</v>
      </c>
      <c r="D182" s="116">
        <v>40</v>
      </c>
      <c r="E182" s="116"/>
      <c r="F182" s="116">
        <f t="shared" si="17"/>
        <v>40</v>
      </c>
      <c r="G182" s="92"/>
    </row>
    <row r="183" spans="1:7" ht="13.15" customHeight="1" x14ac:dyDescent="0.2">
      <c r="A183" s="121" t="s">
        <v>258</v>
      </c>
      <c r="B183" s="115" t="s">
        <v>183</v>
      </c>
      <c r="C183" s="115" t="s">
        <v>184</v>
      </c>
      <c r="D183" s="116">
        <v>0</v>
      </c>
      <c r="E183" s="116"/>
      <c r="F183" s="116">
        <f t="shared" si="17"/>
        <v>0</v>
      </c>
      <c r="G183" s="92"/>
    </row>
    <row r="184" spans="1:7" ht="13.15" customHeight="1" x14ac:dyDescent="0.2">
      <c r="A184" s="114" t="s">
        <v>258</v>
      </c>
      <c r="B184" s="115" t="s">
        <v>185</v>
      </c>
      <c r="C184" s="115" t="s">
        <v>186</v>
      </c>
      <c r="D184" s="116">
        <v>460</v>
      </c>
      <c r="E184" s="116"/>
      <c r="F184" s="116">
        <f t="shared" si="17"/>
        <v>460</v>
      </c>
      <c r="G184" s="92"/>
    </row>
    <row r="185" spans="1:7" ht="13.15" customHeight="1" x14ac:dyDescent="0.2">
      <c r="A185" s="114" t="s">
        <v>258</v>
      </c>
      <c r="B185" s="115" t="s">
        <v>187</v>
      </c>
      <c r="C185" s="115" t="s">
        <v>188</v>
      </c>
      <c r="D185" s="116">
        <v>300</v>
      </c>
      <c r="E185" s="116"/>
      <c r="F185" s="116">
        <f t="shared" si="17"/>
        <v>300</v>
      </c>
      <c r="G185" s="92"/>
    </row>
    <row r="186" spans="1:7" ht="13.15" customHeight="1" x14ac:dyDescent="0.2">
      <c r="A186" s="114" t="s">
        <v>258</v>
      </c>
      <c r="B186" s="115" t="s">
        <v>193</v>
      </c>
      <c r="C186" s="115" t="s">
        <v>194</v>
      </c>
      <c r="D186" s="116">
        <v>5700</v>
      </c>
      <c r="E186" s="116"/>
      <c r="F186" s="116">
        <f t="shared" si="17"/>
        <v>5700</v>
      </c>
      <c r="G186" s="92"/>
    </row>
    <row r="187" spans="1:7" ht="13.15" customHeight="1" x14ac:dyDescent="0.2">
      <c r="A187" s="109" t="s">
        <v>258</v>
      </c>
      <c r="B187" s="87" t="s">
        <v>154</v>
      </c>
      <c r="C187" s="87" t="s">
        <v>155</v>
      </c>
      <c r="D187" s="110">
        <v>170</v>
      </c>
      <c r="E187" s="110"/>
      <c r="F187" s="110">
        <f t="shared" si="17"/>
        <v>170</v>
      </c>
      <c r="G187" s="92"/>
    </row>
    <row r="188" spans="1:7" ht="13.15" customHeight="1" x14ac:dyDescent="0.2">
      <c r="A188" s="109" t="s">
        <v>258</v>
      </c>
      <c r="B188" s="87" t="s">
        <v>156</v>
      </c>
      <c r="C188" s="87" t="s">
        <v>157</v>
      </c>
      <c r="D188" s="110">
        <v>200</v>
      </c>
      <c r="E188" s="110"/>
      <c r="F188" s="110">
        <f t="shared" si="17"/>
        <v>200</v>
      </c>
      <c r="G188" s="92"/>
    </row>
    <row r="189" spans="1:7" ht="13.15" customHeight="1" x14ac:dyDescent="0.2">
      <c r="A189" s="109" t="s">
        <v>258</v>
      </c>
      <c r="B189" s="87" t="s">
        <v>195</v>
      </c>
      <c r="C189" s="87" t="s">
        <v>196</v>
      </c>
      <c r="D189" s="110">
        <v>1300</v>
      </c>
      <c r="E189" s="110"/>
      <c r="F189" s="110">
        <f t="shared" si="17"/>
        <v>1300</v>
      </c>
      <c r="G189" s="92"/>
    </row>
    <row r="190" spans="1:7" ht="13.15" customHeight="1" x14ac:dyDescent="0.2">
      <c r="A190" s="100" t="s">
        <v>261</v>
      </c>
      <c r="B190" s="101"/>
      <c r="C190" s="101" t="s">
        <v>262</v>
      </c>
      <c r="D190" s="102">
        <f t="shared" ref="D190:F191" si="18">+D191</f>
        <v>23400</v>
      </c>
      <c r="E190" s="102">
        <f t="shared" si="18"/>
        <v>0</v>
      </c>
      <c r="F190" s="102">
        <f t="shared" si="18"/>
        <v>23400</v>
      </c>
      <c r="G190" s="92"/>
    </row>
    <row r="191" spans="1:7" ht="13.15" customHeight="1" x14ac:dyDescent="0.2">
      <c r="A191" s="103" t="s">
        <v>261</v>
      </c>
      <c r="B191" s="104" t="s">
        <v>133</v>
      </c>
      <c r="C191" s="104" t="s">
        <v>134</v>
      </c>
      <c r="D191" s="105">
        <f t="shared" si="18"/>
        <v>23400</v>
      </c>
      <c r="E191" s="105">
        <f t="shared" si="18"/>
        <v>0</v>
      </c>
      <c r="F191" s="105">
        <f t="shared" si="18"/>
        <v>23400</v>
      </c>
      <c r="G191" s="92"/>
    </row>
    <row r="192" spans="1:7" ht="13.15" customHeight="1" x14ac:dyDescent="0.2">
      <c r="A192" s="106" t="s">
        <v>261</v>
      </c>
      <c r="B192" s="107" t="s">
        <v>145</v>
      </c>
      <c r="C192" s="107" t="s">
        <v>32</v>
      </c>
      <c r="D192" s="108">
        <f>SUM(D193:D197)</f>
        <v>23400</v>
      </c>
      <c r="E192" s="108">
        <f>SUM(E193:E197)</f>
        <v>0</v>
      </c>
      <c r="F192" s="108">
        <f>SUM(F193:F197)</f>
        <v>23400</v>
      </c>
      <c r="G192" s="92"/>
    </row>
    <row r="193" spans="1:7" ht="13.15" customHeight="1" x14ac:dyDescent="0.2">
      <c r="A193" s="109" t="s">
        <v>261</v>
      </c>
      <c r="B193" s="87" t="s">
        <v>146</v>
      </c>
      <c r="C193" s="87" t="s">
        <v>147</v>
      </c>
      <c r="D193" s="110">
        <v>6000</v>
      </c>
      <c r="E193" s="110"/>
      <c r="F193" s="110">
        <f>SUM(D193:E193)</f>
        <v>6000</v>
      </c>
      <c r="G193" s="92"/>
    </row>
    <row r="194" spans="1:7" ht="13.15" customHeight="1" x14ac:dyDescent="0.2">
      <c r="A194" s="109" t="s">
        <v>261</v>
      </c>
      <c r="B194" s="87" t="s">
        <v>241</v>
      </c>
      <c r="C194" s="87" t="s">
        <v>242</v>
      </c>
      <c r="D194" s="110">
        <v>0</v>
      </c>
      <c r="E194" s="110"/>
      <c r="F194" s="110">
        <f>SUM(D194:E194)</f>
        <v>0</v>
      </c>
      <c r="G194" s="92"/>
    </row>
    <row r="195" spans="1:7" ht="13.15" customHeight="1" x14ac:dyDescent="0.2">
      <c r="A195" s="109" t="s">
        <v>261</v>
      </c>
      <c r="B195" s="87" t="s">
        <v>156</v>
      </c>
      <c r="C195" s="87" t="s">
        <v>157</v>
      </c>
      <c r="D195" s="110">
        <v>0</v>
      </c>
      <c r="E195" s="110"/>
      <c r="F195" s="110">
        <f>SUM(D195:E195)</f>
        <v>0</v>
      </c>
      <c r="G195" s="92"/>
    </row>
    <row r="196" spans="1:7" ht="13.15" customHeight="1" x14ac:dyDescent="0.2">
      <c r="A196" s="109" t="s">
        <v>261</v>
      </c>
      <c r="B196" s="87" t="s">
        <v>195</v>
      </c>
      <c r="C196" s="87" t="s">
        <v>196</v>
      </c>
      <c r="D196" s="110">
        <v>17400</v>
      </c>
      <c r="E196" s="110"/>
      <c r="F196" s="110">
        <f>SUM(D196:E196)</f>
        <v>17400</v>
      </c>
      <c r="G196" s="92"/>
    </row>
    <row r="197" spans="1:7" ht="13.15" customHeight="1" x14ac:dyDescent="0.2">
      <c r="A197" s="109" t="s">
        <v>261</v>
      </c>
      <c r="B197" s="87" t="s">
        <v>199</v>
      </c>
      <c r="C197" s="87" t="s">
        <v>200</v>
      </c>
      <c r="D197" s="110">
        <v>0</v>
      </c>
      <c r="E197" s="110"/>
      <c r="F197" s="110">
        <f>SUM(D197:E197)</f>
        <v>0</v>
      </c>
      <c r="G197" s="92"/>
    </row>
    <row r="198" spans="1:7" ht="13.15" customHeight="1" x14ac:dyDescent="0.2">
      <c r="A198" s="100" t="s">
        <v>263</v>
      </c>
      <c r="B198" s="101"/>
      <c r="C198" s="101" t="s">
        <v>264</v>
      </c>
      <c r="D198" s="102">
        <f t="shared" ref="D198:F200" si="19">+D199</f>
        <v>9000</v>
      </c>
      <c r="E198" s="102">
        <f t="shared" si="19"/>
        <v>0</v>
      </c>
      <c r="F198" s="102">
        <f t="shared" si="19"/>
        <v>9000</v>
      </c>
      <c r="G198" s="92"/>
    </row>
    <row r="199" spans="1:7" ht="13.15" customHeight="1" x14ac:dyDescent="0.2">
      <c r="A199" s="103" t="s">
        <v>263</v>
      </c>
      <c r="B199" s="104" t="s">
        <v>133</v>
      </c>
      <c r="C199" s="104" t="s">
        <v>134</v>
      </c>
      <c r="D199" s="105">
        <f t="shared" si="19"/>
        <v>9000</v>
      </c>
      <c r="E199" s="105">
        <f t="shared" si="19"/>
        <v>0</v>
      </c>
      <c r="F199" s="105">
        <f t="shared" si="19"/>
        <v>9000</v>
      </c>
      <c r="G199" s="92"/>
    </row>
    <row r="200" spans="1:7" ht="13.15" customHeight="1" x14ac:dyDescent="0.2">
      <c r="A200" s="106" t="s">
        <v>263</v>
      </c>
      <c r="B200" s="107" t="s">
        <v>145</v>
      </c>
      <c r="C200" s="107" t="s">
        <v>32</v>
      </c>
      <c r="D200" s="108">
        <f t="shared" si="19"/>
        <v>9000</v>
      </c>
      <c r="E200" s="108">
        <f t="shared" si="19"/>
        <v>0</v>
      </c>
      <c r="F200" s="108">
        <f t="shared" si="19"/>
        <v>9000</v>
      </c>
      <c r="G200" s="92"/>
    </row>
    <row r="201" spans="1:7" ht="13.15" customHeight="1" x14ac:dyDescent="0.2">
      <c r="A201" s="109" t="s">
        <v>263</v>
      </c>
      <c r="B201" s="87" t="s">
        <v>146</v>
      </c>
      <c r="C201" s="87" t="s">
        <v>147</v>
      </c>
      <c r="D201" s="110">
        <v>9000</v>
      </c>
      <c r="E201" s="110"/>
      <c r="F201" s="110">
        <f>SUM(D201:E201)</f>
        <v>9000</v>
      </c>
      <c r="G201" s="92"/>
    </row>
    <row r="202" spans="1:7" ht="13.15" customHeight="1" x14ac:dyDescent="0.2">
      <c r="A202" s="100" t="s">
        <v>265</v>
      </c>
      <c r="B202" s="101"/>
      <c r="C202" s="101" t="s">
        <v>266</v>
      </c>
      <c r="D202" s="102">
        <f>+D203+D206</f>
        <v>68400</v>
      </c>
      <c r="E202" s="102">
        <f>+E203+E206</f>
        <v>36000</v>
      </c>
      <c r="F202" s="102">
        <f>+F203+F206</f>
        <v>104400</v>
      </c>
      <c r="G202" s="92"/>
    </row>
    <row r="203" spans="1:7" ht="13.15" customHeight="1" x14ac:dyDescent="0.2">
      <c r="A203" s="103" t="s">
        <v>265</v>
      </c>
      <c r="B203" s="104" t="s">
        <v>127</v>
      </c>
      <c r="C203" s="104" t="s">
        <v>128</v>
      </c>
      <c r="D203" s="105">
        <f t="shared" ref="D203:F204" si="20">+D204</f>
        <v>0</v>
      </c>
      <c r="E203" s="105">
        <f t="shared" si="20"/>
        <v>0</v>
      </c>
      <c r="F203" s="105">
        <f t="shared" si="20"/>
        <v>0</v>
      </c>
      <c r="G203" s="92"/>
    </row>
    <row r="204" spans="1:7" ht="13.15" customHeight="1" x14ac:dyDescent="0.2">
      <c r="A204" s="106" t="s">
        <v>265</v>
      </c>
      <c r="B204" s="107" t="s">
        <v>129</v>
      </c>
      <c r="C204" s="107" t="s">
        <v>130</v>
      </c>
      <c r="D204" s="108">
        <f t="shared" si="20"/>
        <v>0</v>
      </c>
      <c r="E204" s="108">
        <f t="shared" si="20"/>
        <v>0</v>
      </c>
      <c r="F204" s="108">
        <f t="shared" si="20"/>
        <v>0</v>
      </c>
      <c r="G204" s="92"/>
    </row>
    <row r="205" spans="1:7" ht="13.15" customHeight="1" x14ac:dyDescent="0.2">
      <c r="A205" s="109" t="s">
        <v>265</v>
      </c>
      <c r="B205" s="87" t="s">
        <v>163</v>
      </c>
      <c r="C205" s="87" t="s">
        <v>164</v>
      </c>
      <c r="D205" s="110">
        <v>0</v>
      </c>
      <c r="E205" s="110"/>
      <c r="F205" s="110">
        <f>SUM(D205:E205)</f>
        <v>0</v>
      </c>
      <c r="G205" s="92"/>
    </row>
    <row r="206" spans="1:7" ht="13.15" customHeight="1" x14ac:dyDescent="0.2">
      <c r="A206" s="103" t="s">
        <v>265</v>
      </c>
      <c r="B206" s="104" t="s">
        <v>133</v>
      </c>
      <c r="C206" s="104" t="s">
        <v>134</v>
      </c>
      <c r="D206" s="105">
        <f>+D207</f>
        <v>68400</v>
      </c>
      <c r="E206" s="105">
        <f>+E207</f>
        <v>36000</v>
      </c>
      <c r="F206" s="105">
        <f>+F207</f>
        <v>104400</v>
      </c>
      <c r="G206" s="92"/>
    </row>
    <row r="207" spans="1:7" ht="13.15" customHeight="1" x14ac:dyDescent="0.2">
      <c r="A207" s="106" t="s">
        <v>265</v>
      </c>
      <c r="B207" s="107" t="s">
        <v>145</v>
      </c>
      <c r="C207" s="107" t="s">
        <v>32</v>
      </c>
      <c r="D207" s="108">
        <f>SUM(D208:D212)</f>
        <v>68400</v>
      </c>
      <c r="E207" s="108">
        <f>SUM(E208:E212)</f>
        <v>36000</v>
      </c>
      <c r="F207" s="108">
        <f>SUM(F208:F212)</f>
        <v>104400</v>
      </c>
      <c r="G207" s="92"/>
    </row>
    <row r="208" spans="1:7" ht="13.15" customHeight="1" x14ac:dyDescent="0.2">
      <c r="A208" s="109" t="s">
        <v>265</v>
      </c>
      <c r="B208" s="87" t="s">
        <v>146</v>
      </c>
      <c r="C208" s="87" t="s">
        <v>147</v>
      </c>
      <c r="D208" s="110">
        <v>800</v>
      </c>
      <c r="E208" s="110"/>
      <c r="F208" s="110">
        <f>SUM(D208:E208)</f>
        <v>800</v>
      </c>
      <c r="G208" s="92"/>
    </row>
    <row r="209" spans="1:7" ht="13.15" customHeight="1" x14ac:dyDescent="0.2">
      <c r="A209" s="109" t="s">
        <v>265</v>
      </c>
      <c r="B209" s="87" t="s">
        <v>241</v>
      </c>
      <c r="C209" s="87" t="s">
        <v>242</v>
      </c>
      <c r="D209" s="110">
        <v>2000</v>
      </c>
      <c r="E209" s="110"/>
      <c r="F209" s="110">
        <f>SUM(D209:E209)</f>
        <v>2000</v>
      </c>
      <c r="G209" s="92"/>
    </row>
    <row r="210" spans="1:7" ht="13.15" customHeight="1" x14ac:dyDescent="0.2">
      <c r="A210" s="109" t="s">
        <v>265</v>
      </c>
      <c r="B210" s="87" t="s">
        <v>154</v>
      </c>
      <c r="C210" s="87" t="s">
        <v>155</v>
      </c>
      <c r="D210" s="110">
        <v>700</v>
      </c>
      <c r="E210" s="110"/>
      <c r="F210" s="110">
        <f>SUM(D210:E210)</f>
        <v>700</v>
      </c>
      <c r="G210" s="92"/>
    </row>
    <row r="211" spans="1:7" ht="13.15" customHeight="1" x14ac:dyDescent="0.2">
      <c r="A211" s="109" t="s">
        <v>265</v>
      </c>
      <c r="B211" s="87" t="s">
        <v>195</v>
      </c>
      <c r="C211" s="87" t="s">
        <v>196</v>
      </c>
      <c r="D211" s="110">
        <v>0</v>
      </c>
      <c r="E211" s="110"/>
      <c r="F211" s="110">
        <f>SUM(D211:E211)</f>
        <v>0</v>
      </c>
      <c r="G211" s="92"/>
    </row>
    <row r="212" spans="1:7" ht="13.15" customHeight="1" x14ac:dyDescent="0.2">
      <c r="A212" s="109" t="s">
        <v>265</v>
      </c>
      <c r="B212" s="87" t="s">
        <v>199</v>
      </c>
      <c r="C212" s="87" t="s">
        <v>200</v>
      </c>
      <c r="D212" s="110">
        <v>64900</v>
      </c>
      <c r="E212" s="110">
        <f>30000*1.2</f>
        <v>36000</v>
      </c>
      <c r="F212" s="110">
        <f>SUM(D212:E212)</f>
        <v>100900</v>
      </c>
      <c r="G212" s="118" t="s">
        <v>267</v>
      </c>
    </row>
    <row r="213" spans="1:7" ht="13.15" customHeight="1" x14ac:dyDescent="0.2">
      <c r="A213" s="100" t="s">
        <v>268</v>
      </c>
      <c r="B213" s="101"/>
      <c r="C213" s="101" t="s">
        <v>269</v>
      </c>
      <c r="D213" s="102">
        <f>+D214+D217</f>
        <v>0</v>
      </c>
      <c r="E213" s="102">
        <f>+E214+E217</f>
        <v>0</v>
      </c>
      <c r="F213" s="102">
        <f>+F214+F217</f>
        <v>0</v>
      </c>
      <c r="G213" s="92"/>
    </row>
    <row r="214" spans="1:7" ht="13.15" customHeight="1" x14ac:dyDescent="0.2">
      <c r="A214" s="103" t="s">
        <v>268</v>
      </c>
      <c r="B214" s="104" t="s">
        <v>127</v>
      </c>
      <c r="C214" s="104" t="s">
        <v>128</v>
      </c>
      <c r="D214" s="105">
        <f t="shared" ref="D214:F215" si="21">+D215</f>
        <v>0</v>
      </c>
      <c r="E214" s="105">
        <f t="shared" si="21"/>
        <v>0</v>
      </c>
      <c r="F214" s="105">
        <f t="shared" si="21"/>
        <v>0</v>
      </c>
      <c r="G214" s="92"/>
    </row>
    <row r="215" spans="1:7" ht="13.15" customHeight="1" x14ac:dyDescent="0.2">
      <c r="A215" s="106" t="s">
        <v>268</v>
      </c>
      <c r="B215" s="107" t="s">
        <v>129</v>
      </c>
      <c r="C215" s="107" t="s">
        <v>130</v>
      </c>
      <c r="D215" s="108">
        <f t="shared" si="21"/>
        <v>0</v>
      </c>
      <c r="E215" s="108">
        <f t="shared" si="21"/>
        <v>0</v>
      </c>
      <c r="F215" s="108">
        <f t="shared" si="21"/>
        <v>0</v>
      </c>
      <c r="G215" s="92"/>
    </row>
    <row r="216" spans="1:7" ht="13.15" customHeight="1" x14ac:dyDescent="0.2">
      <c r="A216" s="109" t="s">
        <v>268</v>
      </c>
      <c r="B216" s="87" t="s">
        <v>163</v>
      </c>
      <c r="C216" s="87" t="s">
        <v>164</v>
      </c>
      <c r="D216" s="110">
        <v>0</v>
      </c>
      <c r="E216" s="110"/>
      <c r="F216" s="110">
        <f>SUM(D216:E216)</f>
        <v>0</v>
      </c>
      <c r="G216" s="92"/>
    </row>
    <row r="217" spans="1:7" ht="13.15" customHeight="1" x14ac:dyDescent="0.2">
      <c r="A217" s="103" t="s">
        <v>268</v>
      </c>
      <c r="B217" s="104" t="s">
        <v>166</v>
      </c>
      <c r="C217" s="104" t="s">
        <v>167</v>
      </c>
      <c r="D217" s="105">
        <f>+D218</f>
        <v>0</v>
      </c>
      <c r="E217" s="105">
        <f>+E218</f>
        <v>0</v>
      </c>
      <c r="F217" s="105">
        <f>+F218</f>
        <v>0</v>
      </c>
      <c r="G217" s="92"/>
    </row>
    <row r="218" spans="1:7" ht="13.15" customHeight="1" x14ac:dyDescent="0.2">
      <c r="A218" s="106" t="s">
        <v>268</v>
      </c>
      <c r="B218" s="107" t="s">
        <v>219</v>
      </c>
      <c r="C218" s="107" t="s">
        <v>220</v>
      </c>
      <c r="D218" s="108">
        <f>SUM(D219:D221)</f>
        <v>0</v>
      </c>
      <c r="E218" s="108">
        <f>SUM(E219:E221)</f>
        <v>0</v>
      </c>
      <c r="F218" s="108">
        <f>SUM(F219:F221)</f>
        <v>0</v>
      </c>
      <c r="G218" s="92"/>
    </row>
    <row r="219" spans="1:7" ht="13.15" customHeight="1" x14ac:dyDescent="0.2">
      <c r="A219" s="109" t="s">
        <v>268</v>
      </c>
      <c r="B219" s="87" t="s">
        <v>270</v>
      </c>
      <c r="C219" s="87" t="s">
        <v>271</v>
      </c>
      <c r="D219" s="110">
        <v>0</v>
      </c>
      <c r="E219" s="110"/>
      <c r="F219" s="110">
        <f>SUM(D219:E219)</f>
        <v>0</v>
      </c>
      <c r="G219" s="92"/>
    </row>
    <row r="220" spans="1:7" ht="13.15" customHeight="1" x14ac:dyDescent="0.2">
      <c r="A220" s="109" t="s">
        <v>268</v>
      </c>
      <c r="B220" s="87" t="s">
        <v>272</v>
      </c>
      <c r="C220" s="87" t="s">
        <v>233</v>
      </c>
      <c r="D220" s="110">
        <v>0</v>
      </c>
      <c r="E220" s="110"/>
      <c r="F220" s="110">
        <f>SUM(D220:E220)</f>
        <v>0</v>
      </c>
      <c r="G220" s="92"/>
    </row>
    <row r="221" spans="1:7" ht="13.15" customHeight="1" x14ac:dyDescent="0.2">
      <c r="A221" s="109" t="s">
        <v>268</v>
      </c>
      <c r="B221" s="87" t="s">
        <v>273</v>
      </c>
      <c r="C221" s="87" t="s">
        <v>274</v>
      </c>
      <c r="D221" s="110">
        <v>0</v>
      </c>
      <c r="E221" s="110"/>
      <c r="F221" s="110">
        <f>SUM(D221:E221)</f>
        <v>0</v>
      </c>
      <c r="G221" s="92"/>
    </row>
    <row r="222" spans="1:7" ht="13.15" customHeight="1" x14ac:dyDescent="0.2">
      <c r="A222" s="122" t="s">
        <v>77</v>
      </c>
      <c r="B222" s="123"/>
      <c r="C222" s="123" t="s">
        <v>275</v>
      </c>
      <c r="D222" s="124">
        <f t="shared" ref="D222:F222" si="22">+D223+D228</f>
        <v>246294</v>
      </c>
      <c r="E222" s="124">
        <f t="shared" si="22"/>
        <v>-19035</v>
      </c>
      <c r="F222" s="124">
        <f t="shared" si="22"/>
        <v>227259</v>
      </c>
      <c r="G222" s="92"/>
    </row>
    <row r="223" spans="1:7" ht="13.15" customHeight="1" x14ac:dyDescent="0.2">
      <c r="A223" s="100" t="s">
        <v>276</v>
      </c>
      <c r="B223" s="101"/>
      <c r="C223" s="101" t="s">
        <v>277</v>
      </c>
      <c r="D223" s="102">
        <f t="shared" ref="D223:F224" si="23">+D224</f>
        <v>23000</v>
      </c>
      <c r="E223" s="102">
        <f t="shared" si="23"/>
        <v>-23000</v>
      </c>
      <c r="F223" s="102">
        <f t="shared" si="23"/>
        <v>0</v>
      </c>
      <c r="G223" s="118" t="s">
        <v>278</v>
      </c>
    </row>
    <row r="224" spans="1:7" ht="13.15" customHeight="1" x14ac:dyDescent="0.2">
      <c r="A224" s="103" t="s">
        <v>276</v>
      </c>
      <c r="B224" s="104" t="s">
        <v>133</v>
      </c>
      <c r="C224" s="104" t="s">
        <v>134</v>
      </c>
      <c r="D224" s="105">
        <f t="shared" si="23"/>
        <v>23000</v>
      </c>
      <c r="E224" s="105">
        <f t="shared" si="23"/>
        <v>-23000</v>
      </c>
      <c r="F224" s="105">
        <f t="shared" si="23"/>
        <v>0</v>
      </c>
      <c r="G224" s="92"/>
    </row>
    <row r="225" spans="1:7" ht="13.15" customHeight="1" x14ac:dyDescent="0.2">
      <c r="A225" s="106" t="s">
        <v>276</v>
      </c>
      <c r="B225" s="107" t="s">
        <v>145</v>
      </c>
      <c r="C225" s="107" t="s">
        <v>32</v>
      </c>
      <c r="D225" s="108">
        <f>SUM(D226:D227)</f>
        <v>23000</v>
      </c>
      <c r="E225" s="108">
        <f>SUM(E226:E227)</f>
        <v>-23000</v>
      </c>
      <c r="F225" s="108">
        <f>SUM(F226:F227)</f>
        <v>0</v>
      </c>
      <c r="G225" s="92"/>
    </row>
    <row r="226" spans="1:7" ht="13.15" customHeight="1" x14ac:dyDescent="0.2">
      <c r="A226" s="109" t="s">
        <v>276</v>
      </c>
      <c r="B226" s="87" t="s">
        <v>156</v>
      </c>
      <c r="C226" s="87" t="s">
        <v>157</v>
      </c>
      <c r="D226" s="110">
        <v>20000</v>
      </c>
      <c r="E226" s="110">
        <v>-20000</v>
      </c>
      <c r="F226" s="110">
        <f>SUM(D226:E226)</f>
        <v>0</v>
      </c>
      <c r="G226" s="92"/>
    </row>
    <row r="227" spans="1:7" ht="13.15" customHeight="1" x14ac:dyDescent="0.2">
      <c r="A227" s="109" t="s">
        <v>276</v>
      </c>
      <c r="B227" s="87" t="s">
        <v>197</v>
      </c>
      <c r="C227" s="87" t="s">
        <v>198</v>
      </c>
      <c r="D227" s="110">
        <v>3000</v>
      </c>
      <c r="E227" s="110">
        <v>-3000</v>
      </c>
      <c r="F227" s="110">
        <f>SUM(D227:E227)</f>
        <v>0</v>
      </c>
      <c r="G227" s="92"/>
    </row>
    <row r="228" spans="1:7" ht="13.15" customHeight="1" x14ac:dyDescent="0.2">
      <c r="A228" s="100" t="s">
        <v>279</v>
      </c>
      <c r="B228" s="101"/>
      <c r="C228" s="101" t="s">
        <v>280</v>
      </c>
      <c r="D228" s="102">
        <f t="shared" ref="D228:F229" si="24">+D229</f>
        <v>223294</v>
      </c>
      <c r="E228" s="102">
        <f t="shared" si="24"/>
        <v>3965</v>
      </c>
      <c r="F228" s="102">
        <f t="shared" si="24"/>
        <v>227259</v>
      </c>
      <c r="G228" s="92"/>
    </row>
    <row r="229" spans="1:7" ht="13.15" customHeight="1" x14ac:dyDescent="0.2">
      <c r="A229" s="103" t="s">
        <v>279</v>
      </c>
      <c r="B229" s="104" t="s">
        <v>133</v>
      </c>
      <c r="C229" s="104" t="s">
        <v>134</v>
      </c>
      <c r="D229" s="105">
        <f t="shared" si="24"/>
        <v>223294</v>
      </c>
      <c r="E229" s="105">
        <f t="shared" si="24"/>
        <v>3965</v>
      </c>
      <c r="F229" s="105">
        <f t="shared" si="24"/>
        <v>227259</v>
      </c>
      <c r="G229" s="92"/>
    </row>
    <row r="230" spans="1:7" ht="13.15" customHeight="1" x14ac:dyDescent="0.2">
      <c r="A230" s="106" t="s">
        <v>279</v>
      </c>
      <c r="B230" s="107" t="s">
        <v>135</v>
      </c>
      <c r="C230" s="107" t="s">
        <v>31</v>
      </c>
      <c r="D230" s="108">
        <f>SUM(D231:D234)</f>
        <v>223294</v>
      </c>
      <c r="E230" s="108">
        <f>SUM(E231:E234)</f>
        <v>3965</v>
      </c>
      <c r="F230" s="108">
        <f>SUM(F231:F234)</f>
        <v>227259</v>
      </c>
      <c r="G230" s="92"/>
    </row>
    <row r="231" spans="1:7" ht="13.15" customHeight="1" x14ac:dyDescent="0.2">
      <c r="A231" s="109" t="s">
        <v>279</v>
      </c>
      <c r="B231" s="87" t="s">
        <v>172</v>
      </c>
      <c r="C231" s="87" t="s">
        <v>173</v>
      </c>
      <c r="D231" s="110">
        <v>117893</v>
      </c>
      <c r="E231" s="110">
        <v>1575</v>
      </c>
      <c r="F231" s="110">
        <f>SUM(D231:E231)</f>
        <v>119468</v>
      </c>
      <c r="G231" s="89"/>
    </row>
    <row r="232" spans="1:7" ht="13.15" customHeight="1" x14ac:dyDescent="0.2">
      <c r="A232" s="109" t="s">
        <v>279</v>
      </c>
      <c r="B232" s="87" t="s">
        <v>138</v>
      </c>
      <c r="C232" s="87" t="s">
        <v>139</v>
      </c>
      <c r="D232" s="110">
        <f>43979</f>
        <v>43979</v>
      </c>
      <c r="E232" s="110">
        <v>1390</v>
      </c>
      <c r="F232" s="110">
        <f>SUM(D232:E232)</f>
        <v>45369</v>
      </c>
      <c r="G232" s="92" t="s">
        <v>281</v>
      </c>
    </row>
    <row r="233" spans="1:7" ht="13.15" customHeight="1" x14ac:dyDescent="0.2">
      <c r="A233" s="109" t="s">
        <v>279</v>
      </c>
      <c r="B233" s="87" t="s">
        <v>174</v>
      </c>
      <c r="C233" s="87" t="s">
        <v>175</v>
      </c>
      <c r="D233" s="110">
        <v>5640</v>
      </c>
      <c r="E233" s="110"/>
      <c r="F233" s="110">
        <f>SUM(D233:E233)</f>
        <v>5640</v>
      </c>
      <c r="G233" s="92"/>
    </row>
    <row r="234" spans="1:7" ht="13.15" customHeight="1" x14ac:dyDescent="0.2">
      <c r="A234" s="109" t="s">
        <v>279</v>
      </c>
      <c r="B234" s="87" t="s">
        <v>142</v>
      </c>
      <c r="C234" s="87" t="s">
        <v>143</v>
      </c>
      <c r="D234" s="110">
        <f>55782</f>
        <v>55782</v>
      </c>
      <c r="E234" s="110">
        <v>1000</v>
      </c>
      <c r="F234" s="110">
        <f>SUM(D234:E234)</f>
        <v>56782</v>
      </c>
      <c r="G234" s="92" t="s">
        <v>144</v>
      </c>
    </row>
    <row r="235" spans="1:7" ht="13.15" customHeight="1" x14ac:dyDescent="0.2">
      <c r="A235" s="97" t="s">
        <v>78</v>
      </c>
      <c r="B235" s="98"/>
      <c r="C235" s="98" t="s">
        <v>282</v>
      </c>
      <c r="D235" s="99">
        <f>+D236+D242+D246+D250+D255</f>
        <v>272732</v>
      </c>
      <c r="E235" s="99">
        <f>+E236+E242+E246+E250+E255</f>
        <v>762497.86</v>
      </c>
      <c r="F235" s="99">
        <f>+F236+F242+F246+F250+F255</f>
        <v>1035229.86</v>
      </c>
      <c r="G235" s="92"/>
    </row>
    <row r="236" spans="1:7" ht="13.15" customHeight="1" x14ac:dyDescent="0.2">
      <c r="A236" s="100" t="s">
        <v>79</v>
      </c>
      <c r="B236" s="101"/>
      <c r="C236" s="101" t="s">
        <v>283</v>
      </c>
      <c r="D236" s="102">
        <f t="shared" ref="D236:F237" si="25">+D237</f>
        <v>12000</v>
      </c>
      <c r="E236" s="102">
        <f t="shared" si="25"/>
        <v>32043</v>
      </c>
      <c r="F236" s="102">
        <f t="shared" si="25"/>
        <v>44043</v>
      </c>
      <c r="G236" s="92"/>
    </row>
    <row r="237" spans="1:7" ht="13.15" customHeight="1" x14ac:dyDescent="0.2">
      <c r="A237" s="103" t="s">
        <v>79</v>
      </c>
      <c r="B237" s="104" t="s">
        <v>133</v>
      </c>
      <c r="C237" s="104" t="s">
        <v>134</v>
      </c>
      <c r="D237" s="105">
        <f t="shared" si="25"/>
        <v>12000</v>
      </c>
      <c r="E237" s="105">
        <f t="shared" si="25"/>
        <v>32043</v>
      </c>
      <c r="F237" s="105">
        <f t="shared" si="25"/>
        <v>44043</v>
      </c>
      <c r="G237" s="92"/>
    </row>
    <row r="238" spans="1:7" ht="13.15" customHeight="1" x14ac:dyDescent="0.2">
      <c r="A238" s="106" t="s">
        <v>79</v>
      </c>
      <c r="B238" s="107" t="s">
        <v>145</v>
      </c>
      <c r="C238" s="107" t="s">
        <v>32</v>
      </c>
      <c r="D238" s="108">
        <f>SUM(D239:D241)</f>
        <v>12000</v>
      </c>
      <c r="E238" s="108">
        <f>SUM(E239:E241)</f>
        <v>32043</v>
      </c>
      <c r="F238" s="108">
        <f>SUM(F239:F241)</f>
        <v>44043</v>
      </c>
      <c r="G238" s="92"/>
    </row>
    <row r="239" spans="1:7" ht="13.15" customHeight="1" x14ac:dyDescent="0.2">
      <c r="A239" s="109" t="s">
        <v>79</v>
      </c>
      <c r="B239" s="87" t="s">
        <v>146</v>
      </c>
      <c r="C239" s="87" t="s">
        <v>147</v>
      </c>
      <c r="D239" s="110">
        <v>100</v>
      </c>
      <c r="E239" s="110"/>
      <c r="F239" s="110">
        <f>SUM(D239:E239)</f>
        <v>100</v>
      </c>
      <c r="G239" s="92"/>
    </row>
    <row r="240" spans="1:7" ht="13.15" customHeight="1" x14ac:dyDescent="0.2">
      <c r="A240" s="109" t="s">
        <v>79</v>
      </c>
      <c r="B240" s="87" t="s">
        <v>241</v>
      </c>
      <c r="C240" s="87" t="s">
        <v>242</v>
      </c>
      <c r="D240" s="110">
        <v>11900</v>
      </c>
      <c r="E240" s="110">
        <f>25543+6500</f>
        <v>32043</v>
      </c>
      <c r="F240" s="110">
        <f>SUM(D240:E240)</f>
        <v>43943</v>
      </c>
      <c r="G240" s="92" t="s">
        <v>284</v>
      </c>
    </row>
    <row r="241" spans="1:7" ht="13.15" customHeight="1" x14ac:dyDescent="0.2">
      <c r="A241" s="109" t="s">
        <v>79</v>
      </c>
      <c r="B241" s="87" t="s">
        <v>154</v>
      </c>
      <c r="C241" s="87" t="s">
        <v>155</v>
      </c>
      <c r="D241" s="110">
        <v>0</v>
      </c>
      <c r="E241" s="110"/>
      <c r="F241" s="110">
        <f>SUM(D241:E241)</f>
        <v>0</v>
      </c>
      <c r="G241" s="92"/>
    </row>
    <row r="242" spans="1:7" ht="13.15" customHeight="1" x14ac:dyDescent="0.2">
      <c r="A242" s="100" t="s">
        <v>285</v>
      </c>
      <c r="B242" s="101"/>
      <c r="C242" s="101" t="s">
        <v>286</v>
      </c>
      <c r="D242" s="102">
        <f t="shared" ref="D242:D243" si="26">+D243</f>
        <v>0</v>
      </c>
      <c r="E242" s="102">
        <f>256700+E243</f>
        <v>271375</v>
      </c>
      <c r="F242" s="102">
        <f>+E242+D242</f>
        <v>271375</v>
      </c>
      <c r="G242" s="92"/>
    </row>
    <row r="243" spans="1:7" ht="13.15" customHeight="1" x14ac:dyDescent="0.2">
      <c r="A243" s="103" t="s">
        <v>285</v>
      </c>
      <c r="B243" s="104" t="s">
        <v>133</v>
      </c>
      <c r="C243" s="104" t="s">
        <v>134</v>
      </c>
      <c r="D243" s="105">
        <f t="shared" si="26"/>
        <v>0</v>
      </c>
      <c r="E243" s="105">
        <f>+E244</f>
        <v>14675</v>
      </c>
      <c r="F243" s="105">
        <f>+F244</f>
        <v>14675</v>
      </c>
      <c r="G243" s="92"/>
    </row>
    <row r="244" spans="1:7" ht="13.15" customHeight="1" x14ac:dyDescent="0.2">
      <c r="A244" s="106" t="s">
        <v>285</v>
      </c>
      <c r="B244" s="107" t="s">
        <v>145</v>
      </c>
      <c r="C244" s="107" t="s">
        <v>32</v>
      </c>
      <c r="D244" s="108">
        <f t="shared" ref="D244:F244" si="27">SUM(D245:D245)</f>
        <v>0</v>
      </c>
      <c r="E244" s="108">
        <f t="shared" si="27"/>
        <v>14675</v>
      </c>
      <c r="F244" s="108">
        <f t="shared" si="27"/>
        <v>14675</v>
      </c>
      <c r="G244" s="92"/>
    </row>
    <row r="245" spans="1:7" ht="13.15" customHeight="1" x14ac:dyDescent="0.2">
      <c r="A245" s="109" t="s">
        <v>285</v>
      </c>
      <c r="B245" s="87" t="s">
        <v>241</v>
      </c>
      <c r="C245" s="87" t="s">
        <v>242</v>
      </c>
      <c r="D245" s="110">
        <v>0</v>
      </c>
      <c r="E245" s="110">
        <f>7800+1200+3600+2075</f>
        <v>14675</v>
      </c>
      <c r="F245" s="110">
        <f>SUM(D245:E245)</f>
        <v>14675</v>
      </c>
      <c r="G245" s="118" t="s">
        <v>287</v>
      </c>
    </row>
    <row r="246" spans="1:7" ht="13.15" customHeight="1" x14ac:dyDescent="0.2">
      <c r="A246" s="100" t="s">
        <v>288</v>
      </c>
      <c r="B246" s="101"/>
      <c r="C246" s="101" t="s">
        <v>289</v>
      </c>
      <c r="D246" s="102">
        <v>0</v>
      </c>
      <c r="E246" s="125">
        <f>110000+E247</f>
        <v>96500</v>
      </c>
      <c r="F246" s="125">
        <f>+E246+D246</f>
        <v>96500</v>
      </c>
      <c r="G246" s="92" t="s">
        <v>1028</v>
      </c>
    </row>
    <row r="247" spans="1:7" ht="13.15" customHeight="1" x14ac:dyDescent="0.2">
      <c r="A247" s="126" t="s">
        <v>288</v>
      </c>
      <c r="B247" s="104" t="s">
        <v>133</v>
      </c>
      <c r="C247" s="104" t="s">
        <v>134</v>
      </c>
      <c r="D247" s="105">
        <v>0</v>
      </c>
      <c r="E247" s="105">
        <f>+E248</f>
        <v>-13500</v>
      </c>
      <c r="F247" s="105">
        <f>+F248</f>
        <v>-13500</v>
      </c>
      <c r="G247" s="92"/>
    </row>
    <row r="248" spans="1:7" ht="13.15" customHeight="1" x14ac:dyDescent="0.2">
      <c r="A248" s="127" t="s">
        <v>288</v>
      </c>
      <c r="B248" s="107" t="s">
        <v>145</v>
      </c>
      <c r="C248" s="107" t="s">
        <v>32</v>
      </c>
      <c r="D248" s="108">
        <v>0</v>
      </c>
      <c r="E248" s="108">
        <f>SUM(E249)</f>
        <v>-13500</v>
      </c>
      <c r="F248" s="108">
        <f>SUM(F249)</f>
        <v>-13500</v>
      </c>
      <c r="G248" s="92"/>
    </row>
    <row r="249" spans="1:7" ht="65.45" customHeight="1" x14ac:dyDescent="0.2">
      <c r="A249" s="128" t="s">
        <v>288</v>
      </c>
      <c r="B249" s="87" t="s">
        <v>241</v>
      </c>
      <c r="C249" s="87" t="s">
        <v>242</v>
      </c>
      <c r="D249" s="110">
        <v>0</v>
      </c>
      <c r="E249" s="110">
        <f>-10000-3500</f>
        <v>-13500</v>
      </c>
      <c r="F249" s="110">
        <f>SUM(D249:E249)</f>
        <v>-13500</v>
      </c>
      <c r="G249" s="129" t="s">
        <v>290</v>
      </c>
    </row>
    <row r="250" spans="1:7" ht="13.15" customHeight="1" x14ac:dyDescent="0.2">
      <c r="A250" s="100" t="s">
        <v>80</v>
      </c>
      <c r="B250" s="101"/>
      <c r="C250" s="101" t="s">
        <v>81</v>
      </c>
      <c r="D250" s="102">
        <f t="shared" ref="D250:F251" si="28">+D251</f>
        <v>31000</v>
      </c>
      <c r="E250" s="102">
        <f t="shared" si="28"/>
        <v>3000</v>
      </c>
      <c r="F250" s="102">
        <f t="shared" si="28"/>
        <v>34000</v>
      </c>
      <c r="G250" s="92"/>
    </row>
    <row r="251" spans="1:7" ht="13.15" customHeight="1" x14ac:dyDescent="0.2">
      <c r="A251" s="103" t="s">
        <v>80</v>
      </c>
      <c r="B251" s="104" t="s">
        <v>133</v>
      </c>
      <c r="C251" s="104" t="s">
        <v>134</v>
      </c>
      <c r="D251" s="105">
        <f t="shared" si="28"/>
        <v>31000</v>
      </c>
      <c r="E251" s="105">
        <f t="shared" si="28"/>
        <v>3000</v>
      </c>
      <c r="F251" s="105">
        <f t="shared" si="28"/>
        <v>34000</v>
      </c>
      <c r="G251" s="92"/>
    </row>
    <row r="252" spans="1:7" ht="13.15" customHeight="1" x14ac:dyDescent="0.2">
      <c r="A252" s="106" t="s">
        <v>80</v>
      </c>
      <c r="B252" s="107" t="s">
        <v>145</v>
      </c>
      <c r="C252" s="107" t="s">
        <v>32</v>
      </c>
      <c r="D252" s="108">
        <f>SUM(D253:D254)</f>
        <v>31000</v>
      </c>
      <c r="E252" s="108">
        <f>SUM(E253:E254)</f>
        <v>3000</v>
      </c>
      <c r="F252" s="108">
        <f>SUM(F253:F254)</f>
        <v>34000</v>
      </c>
      <c r="G252" s="92"/>
    </row>
    <row r="253" spans="1:7" ht="13.15" customHeight="1" x14ac:dyDescent="0.2">
      <c r="A253" s="109" t="s">
        <v>80</v>
      </c>
      <c r="B253" s="87" t="s">
        <v>241</v>
      </c>
      <c r="C253" s="87" t="s">
        <v>242</v>
      </c>
      <c r="D253" s="110">
        <v>27000</v>
      </c>
      <c r="E253" s="110">
        <v>3000</v>
      </c>
      <c r="F253" s="110">
        <f>SUM(D253:E253)</f>
        <v>30000</v>
      </c>
      <c r="G253" s="92" t="s">
        <v>291</v>
      </c>
    </row>
    <row r="254" spans="1:7" ht="13.15" customHeight="1" x14ac:dyDescent="0.2">
      <c r="A254" s="109" t="s">
        <v>80</v>
      </c>
      <c r="B254" s="87" t="s">
        <v>199</v>
      </c>
      <c r="C254" s="87" t="s">
        <v>200</v>
      </c>
      <c r="D254" s="110">
        <v>4000</v>
      </c>
      <c r="E254" s="110"/>
      <c r="F254" s="110">
        <f>SUM(D254:E254)</f>
        <v>4000</v>
      </c>
      <c r="G254" s="92"/>
    </row>
    <row r="255" spans="1:7" ht="13.15" customHeight="1" x14ac:dyDescent="0.2">
      <c r="A255" s="122" t="s">
        <v>82</v>
      </c>
      <c r="B255" s="123"/>
      <c r="C255" s="123" t="s">
        <v>292</v>
      </c>
      <c r="D255" s="124">
        <f t="shared" ref="D255:F255" si="29">+D256+D267</f>
        <v>229732</v>
      </c>
      <c r="E255" s="124">
        <f t="shared" si="29"/>
        <v>359579.86</v>
      </c>
      <c r="F255" s="124">
        <f t="shared" si="29"/>
        <v>589311.86</v>
      </c>
      <c r="G255" s="92"/>
    </row>
    <row r="256" spans="1:7" ht="13.15" customHeight="1" x14ac:dyDescent="0.2">
      <c r="A256" s="100" t="s">
        <v>293</v>
      </c>
      <c r="B256" s="101"/>
      <c r="C256" s="101" t="s">
        <v>294</v>
      </c>
      <c r="D256" s="102">
        <f>+D257+D260</f>
        <v>229732</v>
      </c>
      <c r="E256" s="102">
        <f>+E257+E260</f>
        <v>36800</v>
      </c>
      <c r="F256" s="102">
        <f>+F257+F260</f>
        <v>266532</v>
      </c>
      <c r="G256" s="92"/>
    </row>
    <row r="257" spans="1:7" ht="13.15" customHeight="1" x14ac:dyDescent="0.2">
      <c r="A257" s="126" t="s">
        <v>293</v>
      </c>
      <c r="B257" s="104" t="s">
        <v>127</v>
      </c>
      <c r="C257" s="104" t="s">
        <v>128</v>
      </c>
      <c r="D257" s="105">
        <f>+D258</f>
        <v>0</v>
      </c>
      <c r="E257" s="105">
        <f>+E258</f>
        <v>0</v>
      </c>
      <c r="F257" s="105">
        <f>+F258</f>
        <v>0</v>
      </c>
      <c r="G257" s="92"/>
    </row>
    <row r="258" spans="1:7" ht="13.15" customHeight="1" x14ac:dyDescent="0.2">
      <c r="A258" s="127" t="s">
        <v>293</v>
      </c>
      <c r="B258" s="107" t="s">
        <v>129</v>
      </c>
      <c r="C258" s="107" t="s">
        <v>130</v>
      </c>
      <c r="D258" s="108">
        <f>SUM(D259)</f>
        <v>0</v>
      </c>
      <c r="E258" s="108">
        <f>SUM(E259)</f>
        <v>0</v>
      </c>
      <c r="F258" s="108">
        <f>SUM(F259)</f>
        <v>0</v>
      </c>
      <c r="G258" s="92"/>
    </row>
    <row r="259" spans="1:7" ht="13.15" customHeight="1" x14ac:dyDescent="0.2">
      <c r="A259" s="128" t="s">
        <v>293</v>
      </c>
      <c r="B259" s="87" t="s">
        <v>163</v>
      </c>
      <c r="C259" s="87" t="s">
        <v>164</v>
      </c>
      <c r="D259" s="110">
        <v>0</v>
      </c>
      <c r="E259" s="110"/>
      <c r="F259" s="110">
        <f>SUM(D259:E259)</f>
        <v>0</v>
      </c>
      <c r="G259" s="92"/>
    </row>
    <row r="260" spans="1:7" ht="13.15" customHeight="1" x14ac:dyDescent="0.2">
      <c r="A260" s="126" t="s">
        <v>293</v>
      </c>
      <c r="B260" s="104" t="s">
        <v>133</v>
      </c>
      <c r="C260" s="104" t="s">
        <v>134</v>
      </c>
      <c r="D260" s="105">
        <f>+D261</f>
        <v>229732</v>
      </c>
      <c r="E260" s="105">
        <f>+E261</f>
        <v>36800</v>
      </c>
      <c r="F260" s="105">
        <f>+F261</f>
        <v>266532</v>
      </c>
      <c r="G260" s="92"/>
    </row>
    <row r="261" spans="1:7" ht="13.15" customHeight="1" x14ac:dyDescent="0.2">
      <c r="A261" s="127" t="s">
        <v>293</v>
      </c>
      <c r="B261" s="107" t="s">
        <v>145</v>
      </c>
      <c r="C261" s="107" t="s">
        <v>32</v>
      </c>
      <c r="D261" s="108">
        <f>SUM(D262:D266)</f>
        <v>229732</v>
      </c>
      <c r="E261" s="108">
        <f>SUM(E262:E266)</f>
        <v>36800</v>
      </c>
      <c r="F261" s="108">
        <f>SUM(F262:F266)</f>
        <v>266532</v>
      </c>
      <c r="G261" s="92"/>
    </row>
    <row r="262" spans="1:7" ht="13.15" customHeight="1" x14ac:dyDescent="0.2">
      <c r="A262" s="128" t="s">
        <v>293</v>
      </c>
      <c r="B262" s="87" t="s">
        <v>146</v>
      </c>
      <c r="C262" s="87" t="s">
        <v>147</v>
      </c>
      <c r="D262" s="110">
        <v>500</v>
      </c>
      <c r="E262" s="110"/>
      <c r="F262" s="110">
        <f>SUM(D262:E262)</f>
        <v>500</v>
      </c>
      <c r="G262" s="92"/>
    </row>
    <row r="263" spans="1:7" ht="13.15" customHeight="1" x14ac:dyDescent="0.2">
      <c r="A263" s="128" t="s">
        <v>293</v>
      </c>
      <c r="B263" s="87" t="s">
        <v>241</v>
      </c>
      <c r="C263" s="87" t="s">
        <v>242</v>
      </c>
      <c r="D263" s="110">
        <f>150000+25000+9500+15500+1800+800+1600+9000+150</f>
        <v>213350</v>
      </c>
      <c r="E263" s="110">
        <f>1800-5000</f>
        <v>-3200</v>
      </c>
      <c r="F263" s="110">
        <f>SUM(D263:E263)</f>
        <v>210150</v>
      </c>
      <c r="G263" s="92" t="s">
        <v>295</v>
      </c>
    </row>
    <row r="264" spans="1:7" ht="13.15" customHeight="1" x14ac:dyDescent="0.2">
      <c r="A264" s="128" t="s">
        <v>293</v>
      </c>
      <c r="B264" s="87" t="s">
        <v>156</v>
      </c>
      <c r="C264" s="87" t="s">
        <v>157</v>
      </c>
      <c r="D264" s="110">
        <f>6375+2207+2500+800</f>
        <v>11882</v>
      </c>
      <c r="E264" s="110">
        <f>5000+17000+18000</f>
        <v>40000</v>
      </c>
      <c r="F264" s="110">
        <f>SUM(D264:E264)</f>
        <v>51882</v>
      </c>
      <c r="G264" s="92" t="s">
        <v>296</v>
      </c>
    </row>
    <row r="265" spans="1:7" ht="13.15" customHeight="1" x14ac:dyDescent="0.2">
      <c r="A265" s="128" t="s">
        <v>293</v>
      </c>
      <c r="B265" s="87" t="s">
        <v>195</v>
      </c>
      <c r="C265" s="87" t="s">
        <v>196</v>
      </c>
      <c r="D265" s="110">
        <v>3000</v>
      </c>
      <c r="E265" s="110"/>
      <c r="F265" s="110">
        <f>SUM(D265:E265)</f>
        <v>3000</v>
      </c>
      <c r="G265" s="92"/>
    </row>
    <row r="266" spans="1:7" ht="13.15" customHeight="1" x14ac:dyDescent="0.2">
      <c r="A266" s="128" t="s">
        <v>293</v>
      </c>
      <c r="B266" s="87" t="s">
        <v>199</v>
      </c>
      <c r="C266" s="87" t="s">
        <v>200</v>
      </c>
      <c r="D266" s="110">
        <v>1000</v>
      </c>
      <c r="E266" s="110"/>
      <c r="F266" s="110">
        <f>SUM(D266:E266)</f>
        <v>1000</v>
      </c>
      <c r="G266" s="92"/>
    </row>
    <row r="267" spans="1:7" ht="13.15" customHeight="1" x14ac:dyDescent="0.2">
      <c r="A267" s="100" t="s">
        <v>297</v>
      </c>
      <c r="B267" s="101"/>
      <c r="C267" s="101" t="s">
        <v>298</v>
      </c>
      <c r="D267" s="102">
        <f t="shared" ref="D267" si="30">+D268+D271</f>
        <v>0</v>
      </c>
      <c r="E267" s="102">
        <f>+E268+E271</f>
        <v>322779.86</v>
      </c>
      <c r="F267" s="102">
        <f>+F268+F271</f>
        <v>322779.86</v>
      </c>
      <c r="G267" s="118" t="s">
        <v>299</v>
      </c>
    </row>
    <row r="268" spans="1:7" ht="13.15" customHeight="1" x14ac:dyDescent="0.2">
      <c r="A268" s="126" t="s">
        <v>297</v>
      </c>
      <c r="B268" s="104" t="s">
        <v>127</v>
      </c>
      <c r="C268" s="104" t="s">
        <v>128</v>
      </c>
      <c r="D268" s="105">
        <f>+D269</f>
        <v>0</v>
      </c>
      <c r="E268" s="105">
        <f>+E269</f>
        <v>200000</v>
      </c>
      <c r="F268" s="105">
        <f>+F269</f>
        <v>200000</v>
      </c>
      <c r="G268" s="92"/>
    </row>
    <row r="269" spans="1:7" ht="13.15" customHeight="1" x14ac:dyDescent="0.2">
      <c r="A269" s="127" t="s">
        <v>297</v>
      </c>
      <c r="B269" s="107" t="s">
        <v>129</v>
      </c>
      <c r="C269" s="107" t="s">
        <v>130</v>
      </c>
      <c r="D269" s="108">
        <f>SUM(D270)</f>
        <v>0</v>
      </c>
      <c r="E269" s="108">
        <f>SUM(E270)</f>
        <v>200000</v>
      </c>
      <c r="F269" s="108">
        <f>SUM(F270)</f>
        <v>200000</v>
      </c>
      <c r="G269" s="92"/>
    </row>
    <row r="270" spans="1:7" ht="13.15" customHeight="1" x14ac:dyDescent="0.2">
      <c r="A270" s="128" t="s">
        <v>297</v>
      </c>
      <c r="B270" s="87" t="s">
        <v>163</v>
      </c>
      <c r="C270" s="87" t="s">
        <v>164</v>
      </c>
      <c r="D270" s="110">
        <v>0</v>
      </c>
      <c r="E270" s="110">
        <f>190000+10000</f>
        <v>200000</v>
      </c>
      <c r="F270" s="110">
        <f>SUM(D270:E270)</f>
        <v>200000</v>
      </c>
      <c r="G270" s="92" t="s">
        <v>300</v>
      </c>
    </row>
    <row r="271" spans="1:7" ht="13.15" customHeight="1" x14ac:dyDescent="0.2">
      <c r="A271" s="126" t="s">
        <v>297</v>
      </c>
      <c r="B271" s="104" t="s">
        <v>133</v>
      </c>
      <c r="C271" s="104" t="s">
        <v>134</v>
      </c>
      <c r="D271" s="105">
        <f>+D275</f>
        <v>0</v>
      </c>
      <c r="E271" s="105">
        <f>+E272</f>
        <v>122779.86</v>
      </c>
      <c r="F271" s="105">
        <f>+F272</f>
        <v>122779.86</v>
      </c>
      <c r="G271" s="92"/>
    </row>
    <row r="272" spans="1:7" ht="13.15" customHeight="1" x14ac:dyDescent="0.2">
      <c r="A272" s="127" t="s">
        <v>297</v>
      </c>
      <c r="B272" s="107" t="s">
        <v>145</v>
      </c>
      <c r="C272" s="107" t="s">
        <v>32</v>
      </c>
      <c r="D272" s="108">
        <f>SUM(D273:D276)</f>
        <v>0</v>
      </c>
      <c r="E272" s="108">
        <f>SUM(E273:E276)</f>
        <v>122779.86</v>
      </c>
      <c r="F272" s="108">
        <f>SUM(F273:F276)</f>
        <v>122779.86</v>
      </c>
      <c r="G272" s="92"/>
    </row>
    <row r="273" spans="1:7" ht="13.15" customHeight="1" x14ac:dyDescent="0.2">
      <c r="A273" s="128" t="s">
        <v>297</v>
      </c>
      <c r="B273" s="87" t="s">
        <v>146</v>
      </c>
      <c r="C273" s="87" t="s">
        <v>147</v>
      </c>
      <c r="D273" s="110">
        <v>0</v>
      </c>
      <c r="E273" s="110">
        <v>0</v>
      </c>
      <c r="F273" s="110">
        <f>SUM(D273:E273)</f>
        <v>0</v>
      </c>
      <c r="G273" s="92"/>
    </row>
    <row r="274" spans="1:7" ht="13.15" customHeight="1" x14ac:dyDescent="0.2">
      <c r="A274" s="128" t="s">
        <v>297</v>
      </c>
      <c r="B274" s="87" t="s">
        <v>241</v>
      </c>
      <c r="C274" s="87" t="s">
        <v>242</v>
      </c>
      <c r="D274" s="110">
        <v>0</v>
      </c>
      <c r="E274" s="110">
        <f>10000+2000+5000+3500+4000+60000</f>
        <v>84500</v>
      </c>
      <c r="F274" s="110">
        <f>SUM(D274:E274)</f>
        <v>84500</v>
      </c>
      <c r="G274" s="92" t="s">
        <v>301</v>
      </c>
    </row>
    <row r="275" spans="1:7" ht="13.15" customHeight="1" x14ac:dyDescent="0.2">
      <c r="A275" s="128" t="s">
        <v>297</v>
      </c>
      <c r="B275" s="87" t="s">
        <v>156</v>
      </c>
      <c r="C275" s="87" t="s">
        <v>157</v>
      </c>
      <c r="D275" s="110">
        <v>0</v>
      </c>
      <c r="E275" s="110">
        <f>9859.86+420+20000+5000</f>
        <v>35279.86</v>
      </c>
      <c r="F275" s="110">
        <f>SUM(D275:E275)</f>
        <v>35279.86</v>
      </c>
      <c r="G275" s="92" t="s">
        <v>302</v>
      </c>
    </row>
    <row r="276" spans="1:7" ht="13.15" customHeight="1" x14ac:dyDescent="0.2">
      <c r="A276" s="128" t="s">
        <v>297</v>
      </c>
      <c r="B276" s="87" t="s">
        <v>197</v>
      </c>
      <c r="C276" s="87" t="s">
        <v>198</v>
      </c>
      <c r="D276" s="110">
        <v>0</v>
      </c>
      <c r="E276" s="110">
        <v>3000</v>
      </c>
      <c r="F276" s="110">
        <f>SUM(D276:E276)</f>
        <v>3000</v>
      </c>
      <c r="G276" s="92" t="s">
        <v>303</v>
      </c>
    </row>
    <row r="277" spans="1:7" ht="13.15" customHeight="1" x14ac:dyDescent="0.2">
      <c r="A277" s="97" t="s">
        <v>83</v>
      </c>
      <c r="B277" s="98"/>
      <c r="C277" s="98" t="s">
        <v>304</v>
      </c>
      <c r="D277" s="99">
        <f>+D278+D282+D287+D291+D295+D320+D339+D355</f>
        <v>440840</v>
      </c>
      <c r="E277" s="99">
        <f>+E278+E282+E287+E291+E295+E320+E339+E355</f>
        <v>130516</v>
      </c>
      <c r="F277" s="99">
        <f>+F278+F282+F287+F291+F295+F320+F339+F355</f>
        <v>571356</v>
      </c>
      <c r="G277" s="92"/>
    </row>
    <row r="278" spans="1:7" ht="13.15" customHeight="1" x14ac:dyDescent="0.2">
      <c r="A278" s="100" t="s">
        <v>84</v>
      </c>
      <c r="B278" s="101"/>
      <c r="C278" s="101" t="s">
        <v>305</v>
      </c>
      <c r="D278" s="102">
        <f t="shared" ref="D278:F280" si="31">+D279</f>
        <v>12000</v>
      </c>
      <c r="E278" s="102">
        <f t="shared" si="31"/>
        <v>0</v>
      </c>
      <c r="F278" s="102">
        <f t="shared" si="31"/>
        <v>12000</v>
      </c>
      <c r="G278" s="92"/>
    </row>
    <row r="279" spans="1:7" ht="13.15" customHeight="1" x14ac:dyDescent="0.2">
      <c r="A279" s="103" t="s">
        <v>84</v>
      </c>
      <c r="B279" s="104" t="s">
        <v>133</v>
      </c>
      <c r="C279" s="104" t="s">
        <v>134</v>
      </c>
      <c r="D279" s="105">
        <f t="shared" si="31"/>
        <v>12000</v>
      </c>
      <c r="E279" s="105">
        <f t="shared" si="31"/>
        <v>0</v>
      </c>
      <c r="F279" s="105">
        <f t="shared" si="31"/>
        <v>12000</v>
      </c>
      <c r="G279" s="92"/>
    </row>
    <row r="280" spans="1:7" ht="13.15" customHeight="1" x14ac:dyDescent="0.2">
      <c r="A280" s="106" t="s">
        <v>84</v>
      </c>
      <c r="B280" s="107" t="s">
        <v>145</v>
      </c>
      <c r="C280" s="107" t="s">
        <v>32</v>
      </c>
      <c r="D280" s="108">
        <f t="shared" si="31"/>
        <v>12000</v>
      </c>
      <c r="E280" s="108">
        <f t="shared" si="31"/>
        <v>0</v>
      </c>
      <c r="F280" s="108">
        <f t="shared" si="31"/>
        <v>12000</v>
      </c>
      <c r="G280" s="92"/>
    </row>
    <row r="281" spans="1:7" ht="13.15" customHeight="1" x14ac:dyDescent="0.2">
      <c r="A281" s="109" t="s">
        <v>84</v>
      </c>
      <c r="B281" s="87" t="s">
        <v>241</v>
      </c>
      <c r="C281" s="87" t="s">
        <v>242</v>
      </c>
      <c r="D281" s="110">
        <v>12000</v>
      </c>
      <c r="E281" s="110"/>
      <c r="F281" s="110">
        <f>SUM(D281:E281)</f>
        <v>12000</v>
      </c>
      <c r="G281" s="92"/>
    </row>
    <row r="282" spans="1:7" ht="13.15" customHeight="1" x14ac:dyDescent="0.2">
      <c r="A282" s="100" t="s">
        <v>85</v>
      </c>
      <c r="B282" s="101"/>
      <c r="C282" s="101" t="s">
        <v>306</v>
      </c>
      <c r="D282" s="102">
        <f t="shared" ref="D282:F283" si="32">+D283</f>
        <v>10000</v>
      </c>
      <c r="E282" s="102">
        <f t="shared" si="32"/>
        <v>0</v>
      </c>
      <c r="F282" s="102">
        <f t="shared" si="32"/>
        <v>10000</v>
      </c>
      <c r="G282" s="92"/>
    </row>
    <row r="283" spans="1:7" ht="13.15" customHeight="1" x14ac:dyDescent="0.2">
      <c r="A283" s="103" t="s">
        <v>85</v>
      </c>
      <c r="B283" s="104" t="s">
        <v>133</v>
      </c>
      <c r="C283" s="104" t="s">
        <v>134</v>
      </c>
      <c r="D283" s="105">
        <f t="shared" si="32"/>
        <v>10000</v>
      </c>
      <c r="E283" s="105">
        <f t="shared" si="32"/>
        <v>0</v>
      </c>
      <c r="F283" s="105">
        <f t="shared" si="32"/>
        <v>10000</v>
      </c>
      <c r="G283" s="92"/>
    </row>
    <row r="284" spans="1:7" ht="13.15" customHeight="1" x14ac:dyDescent="0.2">
      <c r="A284" s="106" t="s">
        <v>85</v>
      </c>
      <c r="B284" s="107" t="s">
        <v>145</v>
      </c>
      <c r="C284" s="107" t="s">
        <v>32</v>
      </c>
      <c r="D284" s="108">
        <f>SUM(D285:D286)</f>
        <v>10000</v>
      </c>
      <c r="E284" s="108">
        <f>SUM(E285:E286)</f>
        <v>0</v>
      </c>
      <c r="F284" s="108">
        <f>SUM(F285:F286)</f>
        <v>10000</v>
      </c>
      <c r="G284" s="92"/>
    </row>
    <row r="285" spans="1:7" ht="13.15" customHeight="1" x14ac:dyDescent="0.2">
      <c r="A285" s="109" t="s">
        <v>85</v>
      </c>
      <c r="B285" s="87" t="s">
        <v>241</v>
      </c>
      <c r="C285" s="87" t="s">
        <v>242</v>
      </c>
      <c r="D285" s="110">
        <v>1000</v>
      </c>
      <c r="E285" s="110"/>
      <c r="F285" s="110">
        <f>SUM(D285:E285)</f>
        <v>1000</v>
      </c>
      <c r="G285" s="92"/>
    </row>
    <row r="286" spans="1:7" ht="13.15" customHeight="1" x14ac:dyDescent="0.2">
      <c r="A286" s="109" t="s">
        <v>85</v>
      </c>
      <c r="B286" s="87" t="s">
        <v>199</v>
      </c>
      <c r="C286" s="87" t="s">
        <v>200</v>
      </c>
      <c r="D286" s="110">
        <v>9000</v>
      </c>
      <c r="E286" s="110"/>
      <c r="F286" s="110">
        <f>SUM(D286:E286)</f>
        <v>9000</v>
      </c>
      <c r="G286" s="92"/>
    </row>
    <row r="287" spans="1:7" ht="13.15" customHeight="1" x14ac:dyDescent="0.2">
      <c r="A287" s="100" t="s">
        <v>307</v>
      </c>
      <c r="B287" s="101"/>
      <c r="C287" s="101" t="s">
        <v>308</v>
      </c>
      <c r="D287" s="102">
        <f t="shared" ref="D287:F289" si="33">+D288</f>
        <v>140000</v>
      </c>
      <c r="E287" s="102">
        <f t="shared" si="33"/>
        <v>20000</v>
      </c>
      <c r="F287" s="102">
        <f t="shared" si="33"/>
        <v>160000</v>
      </c>
      <c r="G287" s="92"/>
    </row>
    <row r="288" spans="1:7" ht="13.15" customHeight="1" x14ac:dyDescent="0.2">
      <c r="A288" s="103" t="s">
        <v>307</v>
      </c>
      <c r="B288" s="104" t="s">
        <v>133</v>
      </c>
      <c r="C288" s="104" t="s">
        <v>134</v>
      </c>
      <c r="D288" s="105">
        <f t="shared" si="33"/>
        <v>140000</v>
      </c>
      <c r="E288" s="105">
        <f t="shared" si="33"/>
        <v>20000</v>
      </c>
      <c r="F288" s="105">
        <f t="shared" si="33"/>
        <v>160000</v>
      </c>
      <c r="G288" s="92"/>
    </row>
    <row r="289" spans="1:7" ht="13.15" customHeight="1" x14ac:dyDescent="0.2">
      <c r="A289" s="106" t="s">
        <v>307</v>
      </c>
      <c r="B289" s="107" t="s">
        <v>145</v>
      </c>
      <c r="C289" s="107" t="s">
        <v>32</v>
      </c>
      <c r="D289" s="108">
        <f t="shared" si="33"/>
        <v>140000</v>
      </c>
      <c r="E289" s="108">
        <f t="shared" si="33"/>
        <v>20000</v>
      </c>
      <c r="F289" s="108">
        <f t="shared" si="33"/>
        <v>160000</v>
      </c>
      <c r="G289" s="92"/>
    </row>
    <row r="290" spans="1:7" ht="13.15" customHeight="1" x14ac:dyDescent="0.2">
      <c r="A290" s="109" t="s">
        <v>307</v>
      </c>
      <c r="B290" s="87" t="s">
        <v>241</v>
      </c>
      <c r="C290" s="87" t="s">
        <v>242</v>
      </c>
      <c r="D290" s="110">
        <v>140000</v>
      </c>
      <c r="E290" s="110">
        <v>20000</v>
      </c>
      <c r="F290" s="110">
        <f>SUM(D290:E290)</f>
        <v>160000</v>
      </c>
      <c r="G290" s="118" t="s">
        <v>309</v>
      </c>
    </row>
    <row r="291" spans="1:7" ht="13.15" customHeight="1" x14ac:dyDescent="0.2">
      <c r="A291" s="100" t="s">
        <v>310</v>
      </c>
      <c r="B291" s="101"/>
      <c r="C291" s="101" t="s">
        <v>311</v>
      </c>
      <c r="D291" s="102">
        <f t="shared" ref="D291:F293" si="34">+D292</f>
        <v>102350</v>
      </c>
      <c r="E291" s="102">
        <f t="shared" si="34"/>
        <v>10000</v>
      </c>
      <c r="F291" s="102">
        <f t="shared" si="34"/>
        <v>112350</v>
      </c>
      <c r="G291" s="92"/>
    </row>
    <row r="292" spans="1:7" ht="13.15" customHeight="1" x14ac:dyDescent="0.2">
      <c r="A292" s="103" t="s">
        <v>310</v>
      </c>
      <c r="B292" s="104" t="s">
        <v>133</v>
      </c>
      <c r="C292" s="104" t="s">
        <v>134</v>
      </c>
      <c r="D292" s="105">
        <f t="shared" si="34"/>
        <v>102350</v>
      </c>
      <c r="E292" s="105">
        <f t="shared" si="34"/>
        <v>10000</v>
      </c>
      <c r="F292" s="105">
        <f t="shared" si="34"/>
        <v>112350</v>
      </c>
      <c r="G292" s="92"/>
    </row>
    <row r="293" spans="1:7" ht="13.15" customHeight="1" x14ac:dyDescent="0.2">
      <c r="A293" s="106" t="s">
        <v>310</v>
      </c>
      <c r="B293" s="107" t="s">
        <v>145</v>
      </c>
      <c r="C293" s="107" t="s">
        <v>32</v>
      </c>
      <c r="D293" s="108">
        <f t="shared" si="34"/>
        <v>102350</v>
      </c>
      <c r="E293" s="108">
        <f t="shared" si="34"/>
        <v>10000</v>
      </c>
      <c r="F293" s="108">
        <f t="shared" si="34"/>
        <v>112350</v>
      </c>
      <c r="G293" s="92"/>
    </row>
    <row r="294" spans="1:7" ht="13.15" customHeight="1" x14ac:dyDescent="0.2">
      <c r="A294" s="109" t="s">
        <v>310</v>
      </c>
      <c r="B294" s="87" t="s">
        <v>241</v>
      </c>
      <c r="C294" s="87" t="s">
        <v>242</v>
      </c>
      <c r="D294" s="110">
        <v>102350</v>
      </c>
      <c r="E294" s="110">
        <v>10000</v>
      </c>
      <c r="F294" s="110">
        <f>SUM(D294:E294)</f>
        <v>112350</v>
      </c>
      <c r="G294" s="92" t="s">
        <v>312</v>
      </c>
    </row>
    <row r="295" spans="1:7" ht="13.15" customHeight="1" x14ac:dyDescent="0.2">
      <c r="A295" s="100" t="s">
        <v>313</v>
      </c>
      <c r="B295" s="101"/>
      <c r="C295" s="101" t="s">
        <v>314</v>
      </c>
      <c r="D295" s="102">
        <f>+D296+D299</f>
        <v>28400</v>
      </c>
      <c r="E295" s="102">
        <f>+E296+E299</f>
        <v>15000</v>
      </c>
      <c r="F295" s="102">
        <f>+F296+F299</f>
        <v>43400</v>
      </c>
      <c r="G295" s="92"/>
    </row>
    <row r="296" spans="1:7" ht="13.15" customHeight="1" x14ac:dyDescent="0.2">
      <c r="A296" s="103" t="s">
        <v>313</v>
      </c>
      <c r="B296" s="104" t="s">
        <v>127</v>
      </c>
      <c r="C296" s="104" t="s">
        <v>128</v>
      </c>
      <c r="D296" s="105">
        <f>+D297</f>
        <v>0</v>
      </c>
      <c r="E296" s="105">
        <f>+E297</f>
        <v>0</v>
      </c>
      <c r="F296" s="105">
        <f>+F297</f>
        <v>0</v>
      </c>
      <c r="G296" s="92"/>
    </row>
    <row r="297" spans="1:7" ht="13.15" customHeight="1" x14ac:dyDescent="0.2">
      <c r="A297" s="106" t="s">
        <v>313</v>
      </c>
      <c r="B297" s="107" t="s">
        <v>129</v>
      </c>
      <c r="C297" s="107" t="s">
        <v>130</v>
      </c>
      <c r="D297" s="108">
        <f>SUM(D298)</f>
        <v>0</v>
      </c>
      <c r="E297" s="108">
        <f>SUM(E298)</f>
        <v>0</v>
      </c>
      <c r="F297" s="108">
        <f>SUM(F298)</f>
        <v>0</v>
      </c>
      <c r="G297" s="92"/>
    </row>
    <row r="298" spans="1:7" ht="13.15" customHeight="1" x14ac:dyDescent="0.2">
      <c r="A298" s="109" t="s">
        <v>313</v>
      </c>
      <c r="B298" s="87" t="s">
        <v>163</v>
      </c>
      <c r="C298" s="87" t="s">
        <v>164</v>
      </c>
      <c r="D298" s="110">
        <v>0</v>
      </c>
      <c r="E298" s="110"/>
      <c r="F298" s="110">
        <f>SUM(D298:E298)</f>
        <v>0</v>
      </c>
      <c r="G298" s="92"/>
    </row>
    <row r="299" spans="1:7" ht="13.15" customHeight="1" x14ac:dyDescent="0.2">
      <c r="A299" s="103" t="s">
        <v>313</v>
      </c>
      <c r="B299" s="104" t="s">
        <v>133</v>
      </c>
      <c r="C299" s="104" t="s">
        <v>134</v>
      </c>
      <c r="D299" s="105">
        <f>+D300</f>
        <v>28400</v>
      </c>
      <c r="E299" s="105">
        <f>+E300</f>
        <v>15000</v>
      </c>
      <c r="F299" s="105">
        <f>+F300</f>
        <v>43400</v>
      </c>
      <c r="G299" s="92"/>
    </row>
    <row r="300" spans="1:7" ht="13.15" customHeight="1" x14ac:dyDescent="0.2">
      <c r="A300" s="106" t="s">
        <v>313</v>
      </c>
      <c r="B300" s="107" t="s">
        <v>145</v>
      </c>
      <c r="C300" s="107" t="s">
        <v>32</v>
      </c>
      <c r="D300" s="108">
        <f>SUM(D301:D315)-D302</f>
        <v>28400</v>
      </c>
      <c r="E300" s="108">
        <f>SUM(E301:E315)-E302</f>
        <v>15000</v>
      </c>
      <c r="F300" s="108">
        <f>SUM(F301:F315)-F302</f>
        <v>43400</v>
      </c>
      <c r="G300" s="92"/>
    </row>
    <row r="301" spans="1:7" ht="13.15" customHeight="1" x14ac:dyDescent="0.2">
      <c r="A301" s="109" t="s">
        <v>313</v>
      </c>
      <c r="B301" s="87" t="s">
        <v>146</v>
      </c>
      <c r="C301" s="87" t="s">
        <v>147</v>
      </c>
      <c r="D301" s="110">
        <v>800</v>
      </c>
      <c r="E301" s="110"/>
      <c r="F301" s="110">
        <f>SUM(D301:E301)</f>
        <v>800</v>
      </c>
      <c r="G301" s="92"/>
    </row>
    <row r="302" spans="1:7" ht="13.15" customHeight="1" x14ac:dyDescent="0.2">
      <c r="A302" s="111" t="s">
        <v>313</v>
      </c>
      <c r="B302" s="112" t="s">
        <v>176</v>
      </c>
      <c r="C302" s="112" t="s">
        <v>177</v>
      </c>
      <c r="D302" s="113">
        <f>SUM(D303:D312)</f>
        <v>26600</v>
      </c>
      <c r="E302" s="113">
        <f>SUM(E303:E312)</f>
        <v>15000</v>
      </c>
      <c r="F302" s="113">
        <f>SUM(F303:F312)</f>
        <v>41600</v>
      </c>
      <c r="G302" s="92"/>
    </row>
    <row r="303" spans="1:7" ht="13.15" customHeight="1" x14ac:dyDescent="0.2">
      <c r="A303" s="114" t="s">
        <v>313</v>
      </c>
      <c r="B303" s="115" t="s">
        <v>178</v>
      </c>
      <c r="C303" s="115" t="s">
        <v>179</v>
      </c>
      <c r="D303" s="116">
        <v>10000</v>
      </c>
      <c r="E303" s="116"/>
      <c r="F303" s="116">
        <f t="shared" ref="F303:F315" si="35">SUM(D303:E303)</f>
        <v>10000</v>
      </c>
      <c r="G303" s="92"/>
    </row>
    <row r="304" spans="1:7" ht="13.15" customHeight="1" x14ac:dyDescent="0.2">
      <c r="A304" s="114" t="s">
        <v>313</v>
      </c>
      <c r="B304" s="115" t="s">
        <v>180</v>
      </c>
      <c r="C304" s="115" t="s">
        <v>75</v>
      </c>
      <c r="D304" s="116">
        <v>3000</v>
      </c>
      <c r="E304" s="116"/>
      <c r="F304" s="116">
        <f t="shared" si="35"/>
        <v>3000</v>
      </c>
      <c r="G304" s="92"/>
    </row>
    <row r="305" spans="1:7" ht="13.15" customHeight="1" x14ac:dyDescent="0.2">
      <c r="A305" s="114" t="s">
        <v>313</v>
      </c>
      <c r="B305" s="115" t="s">
        <v>181</v>
      </c>
      <c r="C305" s="115" t="s">
        <v>182</v>
      </c>
      <c r="D305" s="116">
        <v>900</v>
      </c>
      <c r="E305" s="116"/>
      <c r="F305" s="116">
        <f t="shared" si="35"/>
        <v>900</v>
      </c>
      <c r="G305" s="92"/>
    </row>
    <row r="306" spans="1:7" ht="13.15" customHeight="1" x14ac:dyDescent="0.2">
      <c r="A306" s="114" t="s">
        <v>313</v>
      </c>
      <c r="B306" s="115" t="s">
        <v>183</v>
      </c>
      <c r="C306" s="115" t="s">
        <v>184</v>
      </c>
      <c r="D306" s="116">
        <v>0</v>
      </c>
      <c r="E306" s="116"/>
      <c r="F306" s="116">
        <f t="shared" si="35"/>
        <v>0</v>
      </c>
      <c r="G306" s="92"/>
    </row>
    <row r="307" spans="1:7" ht="13.15" customHeight="1" x14ac:dyDescent="0.2">
      <c r="A307" s="114" t="s">
        <v>313</v>
      </c>
      <c r="B307" s="115" t="s">
        <v>185</v>
      </c>
      <c r="C307" s="115" t="s">
        <v>186</v>
      </c>
      <c r="D307" s="116">
        <v>3600</v>
      </c>
      <c r="E307" s="116"/>
      <c r="F307" s="116">
        <f t="shared" si="35"/>
        <v>3600</v>
      </c>
      <c r="G307" s="92"/>
    </row>
    <row r="308" spans="1:7" ht="13.15" customHeight="1" x14ac:dyDescent="0.2">
      <c r="A308" s="114" t="s">
        <v>313</v>
      </c>
      <c r="B308" s="115" t="s">
        <v>187</v>
      </c>
      <c r="C308" s="115" t="s">
        <v>188</v>
      </c>
      <c r="D308" s="116">
        <v>0</v>
      </c>
      <c r="E308" s="116"/>
      <c r="F308" s="116">
        <f t="shared" si="35"/>
        <v>0</v>
      </c>
      <c r="G308" s="92"/>
    </row>
    <row r="309" spans="1:7" ht="13.15" customHeight="1" x14ac:dyDescent="0.2">
      <c r="A309" s="114" t="s">
        <v>313</v>
      </c>
      <c r="B309" s="115" t="s">
        <v>189</v>
      </c>
      <c r="C309" s="115" t="s">
        <v>190</v>
      </c>
      <c r="D309" s="116">
        <v>2500</v>
      </c>
      <c r="E309" s="116">
        <v>15000</v>
      </c>
      <c r="F309" s="116">
        <f t="shared" si="35"/>
        <v>17500</v>
      </c>
      <c r="G309" s="92" t="s">
        <v>315</v>
      </c>
    </row>
    <row r="310" spans="1:7" ht="13.15" customHeight="1" x14ac:dyDescent="0.2">
      <c r="A310" s="114" t="s">
        <v>313</v>
      </c>
      <c r="B310" s="115" t="s">
        <v>191</v>
      </c>
      <c r="C310" s="115" t="s">
        <v>192</v>
      </c>
      <c r="D310" s="116">
        <v>1600</v>
      </c>
      <c r="E310" s="116"/>
      <c r="F310" s="116">
        <f t="shared" si="35"/>
        <v>1600</v>
      </c>
      <c r="G310" s="92"/>
    </row>
    <row r="311" spans="1:7" ht="13.15" customHeight="1" x14ac:dyDescent="0.2">
      <c r="A311" s="114" t="s">
        <v>313</v>
      </c>
      <c r="B311" s="115" t="s">
        <v>193</v>
      </c>
      <c r="C311" s="115" t="s">
        <v>194</v>
      </c>
      <c r="D311" s="116">
        <v>5000</v>
      </c>
      <c r="E311" s="116"/>
      <c r="F311" s="116">
        <f t="shared" si="35"/>
        <v>5000</v>
      </c>
      <c r="G311" s="92"/>
    </row>
    <row r="312" spans="1:7" ht="13.15" customHeight="1" x14ac:dyDescent="0.2">
      <c r="A312" s="114" t="s">
        <v>313</v>
      </c>
      <c r="B312" s="115" t="s">
        <v>316</v>
      </c>
      <c r="C312" s="115" t="s">
        <v>317</v>
      </c>
      <c r="D312" s="116">
        <v>0</v>
      </c>
      <c r="E312" s="116"/>
      <c r="F312" s="116">
        <f t="shared" si="35"/>
        <v>0</v>
      </c>
      <c r="G312" s="92"/>
    </row>
    <row r="313" spans="1:7" ht="13.15" customHeight="1" x14ac:dyDescent="0.2">
      <c r="A313" s="109" t="s">
        <v>313</v>
      </c>
      <c r="B313" s="87" t="s">
        <v>241</v>
      </c>
      <c r="C313" s="87" t="s">
        <v>242</v>
      </c>
      <c r="D313" s="110">
        <v>0</v>
      </c>
      <c r="E313" s="110"/>
      <c r="F313" s="110">
        <f t="shared" si="35"/>
        <v>0</v>
      </c>
      <c r="G313" s="92"/>
    </row>
    <row r="314" spans="1:7" ht="13.15" customHeight="1" x14ac:dyDescent="0.2">
      <c r="A314" s="109" t="s">
        <v>313</v>
      </c>
      <c r="B314" s="87" t="s">
        <v>156</v>
      </c>
      <c r="C314" s="87" t="s">
        <v>157</v>
      </c>
      <c r="D314" s="110">
        <v>500</v>
      </c>
      <c r="E314" s="110"/>
      <c r="F314" s="110">
        <f t="shared" si="35"/>
        <v>500</v>
      </c>
      <c r="G314" s="92"/>
    </row>
    <row r="315" spans="1:7" ht="13.15" customHeight="1" x14ac:dyDescent="0.2">
      <c r="A315" s="109" t="s">
        <v>313</v>
      </c>
      <c r="B315" s="87" t="s">
        <v>199</v>
      </c>
      <c r="C315" s="87" t="s">
        <v>200</v>
      </c>
      <c r="D315" s="110">
        <v>500</v>
      </c>
      <c r="E315" s="110"/>
      <c r="F315" s="110">
        <f t="shared" si="35"/>
        <v>500</v>
      </c>
      <c r="G315" s="92"/>
    </row>
    <row r="316" spans="1:7" ht="13.15" customHeight="1" x14ac:dyDescent="0.2">
      <c r="A316" s="103" t="s">
        <v>313</v>
      </c>
      <c r="B316" s="104" t="s">
        <v>201</v>
      </c>
      <c r="C316" s="104" t="s">
        <v>33</v>
      </c>
      <c r="D316" s="105">
        <f>+D317</f>
        <v>0</v>
      </c>
      <c r="E316" s="105"/>
      <c r="F316" s="105"/>
      <c r="G316" s="92"/>
    </row>
    <row r="317" spans="1:7" ht="13.15" customHeight="1" x14ac:dyDescent="0.2">
      <c r="A317" s="106" t="s">
        <v>313</v>
      </c>
      <c r="B317" s="107" t="s">
        <v>202</v>
      </c>
      <c r="C317" s="107" t="s">
        <v>203</v>
      </c>
      <c r="D317" s="108">
        <f>+D318</f>
        <v>0</v>
      </c>
      <c r="E317" s="108">
        <f>+E318</f>
        <v>0</v>
      </c>
      <c r="F317" s="108">
        <f>+F318</f>
        <v>0</v>
      </c>
      <c r="G317" s="92"/>
    </row>
    <row r="318" spans="1:7" ht="13.15" customHeight="1" x14ac:dyDescent="0.2">
      <c r="A318" s="114" t="s">
        <v>313</v>
      </c>
      <c r="B318" s="115" t="s">
        <v>204</v>
      </c>
      <c r="C318" s="115" t="s">
        <v>205</v>
      </c>
      <c r="D318" s="116">
        <f>+D319</f>
        <v>0</v>
      </c>
      <c r="E318" s="116"/>
      <c r="F318" s="116">
        <f>SUM(D318:E318)</f>
        <v>0</v>
      </c>
      <c r="G318" s="92"/>
    </row>
    <row r="319" spans="1:7" ht="13.15" customHeight="1" x14ac:dyDescent="0.2">
      <c r="A319" s="109" t="s">
        <v>313</v>
      </c>
      <c r="B319" s="87" t="s">
        <v>208</v>
      </c>
      <c r="C319" s="87" t="s">
        <v>209</v>
      </c>
      <c r="D319" s="110">
        <v>0</v>
      </c>
      <c r="E319" s="110"/>
      <c r="F319" s="110">
        <f>SUM(D319:E319)</f>
        <v>0</v>
      </c>
      <c r="G319" s="92"/>
    </row>
    <row r="320" spans="1:7" ht="13.15" customHeight="1" x14ac:dyDescent="0.2">
      <c r="A320" s="100" t="s">
        <v>318</v>
      </c>
      <c r="B320" s="101"/>
      <c r="C320" s="101" t="s">
        <v>319</v>
      </c>
      <c r="D320" s="102">
        <f t="shared" ref="D320:F322" si="36">+D321</f>
        <v>53100</v>
      </c>
      <c r="E320" s="102">
        <f t="shared" si="36"/>
        <v>0</v>
      </c>
      <c r="F320" s="102">
        <f t="shared" si="36"/>
        <v>53100</v>
      </c>
      <c r="G320" s="92"/>
    </row>
    <row r="321" spans="1:7" ht="13.15" customHeight="1" x14ac:dyDescent="0.2">
      <c r="A321" s="103" t="s">
        <v>318</v>
      </c>
      <c r="B321" s="104" t="s">
        <v>133</v>
      </c>
      <c r="C321" s="104" t="s">
        <v>134</v>
      </c>
      <c r="D321" s="105">
        <f t="shared" si="36"/>
        <v>53100</v>
      </c>
      <c r="E321" s="105">
        <f t="shared" si="36"/>
        <v>0</v>
      </c>
      <c r="F321" s="105">
        <f t="shared" si="36"/>
        <v>53100</v>
      </c>
      <c r="G321" s="92"/>
    </row>
    <row r="322" spans="1:7" ht="13.15" customHeight="1" x14ac:dyDescent="0.2">
      <c r="A322" s="106" t="s">
        <v>318</v>
      </c>
      <c r="B322" s="107" t="s">
        <v>145</v>
      </c>
      <c r="C322" s="107" t="s">
        <v>32</v>
      </c>
      <c r="D322" s="108">
        <f t="shared" si="36"/>
        <v>53100</v>
      </c>
      <c r="E322" s="108">
        <f t="shared" si="36"/>
        <v>0</v>
      </c>
      <c r="F322" s="108">
        <f t="shared" si="36"/>
        <v>53100</v>
      </c>
      <c r="G322" s="92"/>
    </row>
    <row r="323" spans="1:7" ht="13.15" customHeight="1" x14ac:dyDescent="0.2">
      <c r="A323" s="111" t="s">
        <v>318</v>
      </c>
      <c r="B323" s="112" t="s">
        <v>176</v>
      </c>
      <c r="C323" s="112" t="s">
        <v>177</v>
      </c>
      <c r="D323" s="113">
        <f>SUM(D324:D338)-D329</f>
        <v>53100</v>
      </c>
      <c r="E323" s="113">
        <f>SUM(E324:E338)-E329</f>
        <v>0</v>
      </c>
      <c r="F323" s="113">
        <f>SUM(F324:F338)-F329</f>
        <v>53100</v>
      </c>
      <c r="G323" s="92"/>
    </row>
    <row r="324" spans="1:7" ht="13.15" customHeight="1" x14ac:dyDescent="0.2">
      <c r="A324" s="114" t="s">
        <v>318</v>
      </c>
      <c r="B324" s="115" t="s">
        <v>178</v>
      </c>
      <c r="C324" s="115" t="s">
        <v>179</v>
      </c>
      <c r="D324" s="116">
        <v>0</v>
      </c>
      <c r="E324" s="116"/>
      <c r="F324" s="116">
        <f>SUM(D324:E324)</f>
        <v>0</v>
      </c>
      <c r="G324" s="92"/>
    </row>
    <row r="325" spans="1:7" ht="13.15" customHeight="1" x14ac:dyDescent="0.2">
      <c r="A325" s="114" t="s">
        <v>318</v>
      </c>
      <c r="B325" s="115" t="s">
        <v>180</v>
      </c>
      <c r="C325" s="115" t="s">
        <v>75</v>
      </c>
      <c r="D325" s="116">
        <v>0</v>
      </c>
      <c r="E325" s="116"/>
      <c r="F325" s="116">
        <f>SUM(D325:E325)</f>
        <v>0</v>
      </c>
      <c r="G325" s="92"/>
    </row>
    <row r="326" spans="1:7" ht="13.15" customHeight="1" x14ac:dyDescent="0.2">
      <c r="A326" s="114" t="s">
        <v>318</v>
      </c>
      <c r="B326" s="115" t="s">
        <v>181</v>
      </c>
      <c r="C326" s="115" t="s">
        <v>182</v>
      </c>
      <c r="D326" s="116">
        <v>0</v>
      </c>
      <c r="E326" s="116"/>
      <c r="F326" s="116">
        <f>SUM(D326:E326)</f>
        <v>0</v>
      </c>
      <c r="G326" s="92"/>
    </row>
    <row r="327" spans="1:7" ht="13.15" customHeight="1" x14ac:dyDescent="0.2">
      <c r="A327" s="114" t="s">
        <v>318</v>
      </c>
      <c r="B327" s="115" t="s">
        <v>185</v>
      </c>
      <c r="C327" s="115" t="s">
        <v>186</v>
      </c>
      <c r="D327" s="116">
        <v>0</v>
      </c>
      <c r="E327" s="116"/>
      <c r="F327" s="116">
        <f>SUM(D327:E327)</f>
        <v>0</v>
      </c>
      <c r="G327" s="92"/>
    </row>
    <row r="328" spans="1:7" ht="13.15" customHeight="1" x14ac:dyDescent="0.2">
      <c r="A328" s="114" t="s">
        <v>318</v>
      </c>
      <c r="B328" s="115" t="s">
        <v>187</v>
      </c>
      <c r="C328" s="115" t="s">
        <v>188</v>
      </c>
      <c r="D328" s="116">
        <v>0</v>
      </c>
      <c r="E328" s="116"/>
      <c r="F328" s="116">
        <f>SUM(D328:E328)</f>
        <v>0</v>
      </c>
      <c r="G328" s="92"/>
    </row>
    <row r="329" spans="1:7" ht="13.15" customHeight="1" x14ac:dyDescent="0.2">
      <c r="A329" s="111" t="s">
        <v>318</v>
      </c>
      <c r="B329" s="112" t="s">
        <v>320</v>
      </c>
      <c r="C329" s="112" t="s">
        <v>321</v>
      </c>
      <c r="D329" s="113">
        <f>SUM(D330:D337)</f>
        <v>52600</v>
      </c>
      <c r="E329" s="113">
        <f>SUM(E330:E337)</f>
        <v>0</v>
      </c>
      <c r="F329" s="113">
        <f>SUM(F330:F337)</f>
        <v>52600</v>
      </c>
      <c r="G329" s="92"/>
    </row>
    <row r="330" spans="1:7" ht="13.15" customHeight="1" x14ac:dyDescent="0.2">
      <c r="A330" s="114" t="s">
        <v>318</v>
      </c>
      <c r="B330" s="115" t="s">
        <v>322</v>
      </c>
      <c r="C330" s="115" t="s">
        <v>323</v>
      </c>
      <c r="D330" s="116">
        <v>15000</v>
      </c>
      <c r="E330" s="116"/>
      <c r="F330" s="116">
        <f t="shared" ref="F330:F338" si="37">SUM(D330:E330)</f>
        <v>15000</v>
      </c>
      <c r="G330" s="92"/>
    </row>
    <row r="331" spans="1:7" ht="13.15" customHeight="1" x14ac:dyDescent="0.2">
      <c r="A331" s="114" t="s">
        <v>318</v>
      </c>
      <c r="B331" s="115" t="s">
        <v>324</v>
      </c>
      <c r="C331" s="115" t="s">
        <v>325</v>
      </c>
      <c r="D331" s="116">
        <v>21300</v>
      </c>
      <c r="E331" s="116"/>
      <c r="F331" s="116">
        <f t="shared" si="37"/>
        <v>21300</v>
      </c>
      <c r="G331" s="92"/>
    </row>
    <row r="332" spans="1:7" ht="13.15" customHeight="1" x14ac:dyDescent="0.2">
      <c r="A332" s="114" t="s">
        <v>318</v>
      </c>
      <c r="B332" s="115" t="s">
        <v>326</v>
      </c>
      <c r="C332" s="115" t="s">
        <v>327</v>
      </c>
      <c r="D332" s="116">
        <v>100</v>
      </c>
      <c r="E332" s="116"/>
      <c r="F332" s="116">
        <f t="shared" si="37"/>
        <v>100</v>
      </c>
      <c r="G332" s="92"/>
    </row>
    <row r="333" spans="1:7" ht="13.15" customHeight="1" x14ac:dyDescent="0.2">
      <c r="A333" s="114" t="s">
        <v>318</v>
      </c>
      <c r="B333" s="115" t="s">
        <v>328</v>
      </c>
      <c r="C333" s="115" t="s">
        <v>329</v>
      </c>
      <c r="D333" s="116">
        <v>500</v>
      </c>
      <c r="E333" s="116"/>
      <c r="F333" s="116">
        <f t="shared" si="37"/>
        <v>500</v>
      </c>
      <c r="G333" s="92"/>
    </row>
    <row r="334" spans="1:7" ht="13.15" customHeight="1" x14ac:dyDescent="0.2">
      <c r="A334" s="114" t="s">
        <v>318</v>
      </c>
      <c r="B334" s="115" t="s">
        <v>330</v>
      </c>
      <c r="C334" s="115" t="s">
        <v>331</v>
      </c>
      <c r="D334" s="116">
        <v>9000</v>
      </c>
      <c r="E334" s="116"/>
      <c r="F334" s="116">
        <f t="shared" si="37"/>
        <v>9000</v>
      </c>
      <c r="G334" s="92"/>
    </row>
    <row r="335" spans="1:7" ht="13.15" customHeight="1" x14ac:dyDescent="0.2">
      <c r="A335" s="114" t="s">
        <v>318</v>
      </c>
      <c r="B335" s="115" t="s">
        <v>332</v>
      </c>
      <c r="C335" s="115" t="s">
        <v>333</v>
      </c>
      <c r="D335" s="116">
        <v>300</v>
      </c>
      <c r="E335" s="116"/>
      <c r="F335" s="116">
        <f t="shared" si="37"/>
        <v>300</v>
      </c>
      <c r="G335" s="92"/>
    </row>
    <row r="336" spans="1:7" ht="13.15" customHeight="1" x14ac:dyDescent="0.2">
      <c r="A336" s="114" t="s">
        <v>318</v>
      </c>
      <c r="B336" s="115" t="s">
        <v>334</v>
      </c>
      <c r="C336" s="115" t="s">
        <v>335</v>
      </c>
      <c r="D336" s="116">
        <v>6000</v>
      </c>
      <c r="E336" s="116"/>
      <c r="F336" s="116">
        <f t="shared" si="37"/>
        <v>6000</v>
      </c>
      <c r="G336" s="92"/>
    </row>
    <row r="337" spans="1:7" ht="13.15" customHeight="1" x14ac:dyDescent="0.2">
      <c r="A337" s="114" t="s">
        <v>318</v>
      </c>
      <c r="B337" s="115" t="s">
        <v>336</v>
      </c>
      <c r="C337" s="115" t="s">
        <v>337</v>
      </c>
      <c r="D337" s="116">
        <v>400</v>
      </c>
      <c r="E337" s="116"/>
      <c r="F337" s="116">
        <f t="shared" si="37"/>
        <v>400</v>
      </c>
      <c r="G337" s="92"/>
    </row>
    <row r="338" spans="1:7" ht="13.15" customHeight="1" x14ac:dyDescent="0.2">
      <c r="A338" s="109" t="s">
        <v>318</v>
      </c>
      <c r="B338" s="87" t="s">
        <v>199</v>
      </c>
      <c r="C338" s="87" t="s">
        <v>200</v>
      </c>
      <c r="D338" s="110">
        <v>500</v>
      </c>
      <c r="E338" s="110"/>
      <c r="F338" s="110">
        <f t="shared" si="37"/>
        <v>500</v>
      </c>
      <c r="G338" s="92"/>
    </row>
    <row r="339" spans="1:7" ht="13.15" customHeight="1" x14ac:dyDescent="0.2">
      <c r="A339" s="100" t="s">
        <v>338</v>
      </c>
      <c r="B339" s="101"/>
      <c r="C339" s="101" t="s">
        <v>339</v>
      </c>
      <c r="D339" s="102">
        <f>+D340+D343+D346</f>
        <v>60950</v>
      </c>
      <c r="E339" s="102">
        <f>+E340+E343+E346</f>
        <v>79256</v>
      </c>
      <c r="F339" s="102">
        <f>+F340+F343+F346</f>
        <v>140206</v>
      </c>
      <c r="G339" s="92"/>
    </row>
    <row r="340" spans="1:7" ht="13.15" customHeight="1" x14ac:dyDescent="0.2">
      <c r="A340" s="103" t="s">
        <v>338</v>
      </c>
      <c r="B340" s="104" t="s">
        <v>127</v>
      </c>
      <c r="C340" s="104" t="s">
        <v>128</v>
      </c>
      <c r="D340" s="105">
        <f t="shared" ref="D340:F341" si="38">+D341</f>
        <v>0</v>
      </c>
      <c r="E340" s="105">
        <f t="shared" si="38"/>
        <v>75754</v>
      </c>
      <c r="F340" s="105">
        <f t="shared" si="38"/>
        <v>75754</v>
      </c>
      <c r="G340" s="92"/>
    </row>
    <row r="341" spans="1:7" ht="13.15" customHeight="1" x14ac:dyDescent="0.2">
      <c r="A341" s="106" t="s">
        <v>338</v>
      </c>
      <c r="B341" s="107" t="s">
        <v>129</v>
      </c>
      <c r="C341" s="107" t="s">
        <v>130</v>
      </c>
      <c r="D341" s="108">
        <f t="shared" si="38"/>
        <v>0</v>
      </c>
      <c r="E341" s="108">
        <f t="shared" si="38"/>
        <v>75754</v>
      </c>
      <c r="F341" s="108">
        <f t="shared" si="38"/>
        <v>75754</v>
      </c>
      <c r="G341" s="92"/>
    </row>
    <row r="342" spans="1:7" ht="13.15" customHeight="1" x14ac:dyDescent="0.2">
      <c r="A342" s="109" t="s">
        <v>338</v>
      </c>
      <c r="B342" s="87" t="s">
        <v>163</v>
      </c>
      <c r="C342" s="87" t="s">
        <v>164</v>
      </c>
      <c r="D342" s="110">
        <v>0</v>
      </c>
      <c r="E342" s="110">
        <f>7754+68000</f>
        <v>75754</v>
      </c>
      <c r="F342" s="110">
        <f>SUM(D342:E342)</f>
        <v>75754</v>
      </c>
      <c r="G342" s="118" t="s">
        <v>340</v>
      </c>
    </row>
    <row r="343" spans="1:7" ht="13.15" customHeight="1" x14ac:dyDescent="0.2">
      <c r="A343" s="103" t="s">
        <v>338</v>
      </c>
      <c r="B343" s="104" t="s">
        <v>166</v>
      </c>
      <c r="C343" s="104" t="s">
        <v>167</v>
      </c>
      <c r="D343" s="105">
        <f>+D344</f>
        <v>7712</v>
      </c>
      <c r="E343" s="105">
        <f>+E344</f>
        <v>0</v>
      </c>
      <c r="F343" s="105">
        <f>+F344</f>
        <v>7712</v>
      </c>
      <c r="G343" s="92"/>
    </row>
    <row r="344" spans="1:7" ht="13.15" customHeight="1" x14ac:dyDescent="0.2">
      <c r="A344" s="106" t="s">
        <v>338</v>
      </c>
      <c r="B344" s="107" t="s">
        <v>219</v>
      </c>
      <c r="C344" s="107" t="s">
        <v>220</v>
      </c>
      <c r="D344" s="108">
        <f>SUM(D345:D345)</f>
        <v>7712</v>
      </c>
      <c r="E344" s="108">
        <f>SUM(E345:E345)</f>
        <v>0</v>
      </c>
      <c r="F344" s="108">
        <f>SUM(F345:F345)</f>
        <v>7712</v>
      </c>
      <c r="G344" s="92"/>
    </row>
    <row r="345" spans="1:7" ht="13.15" customHeight="1" x14ac:dyDescent="0.2">
      <c r="A345" s="109" t="s">
        <v>338</v>
      </c>
      <c r="B345" s="87" t="s">
        <v>221</v>
      </c>
      <c r="C345" s="87" t="s">
        <v>222</v>
      </c>
      <c r="D345" s="110">
        <v>7712</v>
      </c>
      <c r="E345" s="110"/>
      <c r="F345" s="110">
        <f>SUM(D345:E345)</f>
        <v>7712</v>
      </c>
      <c r="G345" s="92"/>
    </row>
    <row r="346" spans="1:7" ht="13.15" customHeight="1" x14ac:dyDescent="0.2">
      <c r="A346" s="103" t="s">
        <v>338</v>
      </c>
      <c r="B346" s="104" t="s">
        <v>133</v>
      </c>
      <c r="C346" s="104" t="s">
        <v>134</v>
      </c>
      <c r="D346" s="105">
        <f>+D347+D350</f>
        <v>53238</v>
      </c>
      <c r="E346" s="105">
        <f>+E347+E350</f>
        <v>3502</v>
      </c>
      <c r="F346" s="105">
        <f>+F347+F350</f>
        <v>56740</v>
      </c>
      <c r="G346" s="92"/>
    </row>
    <row r="347" spans="1:7" ht="13.15" customHeight="1" x14ac:dyDescent="0.2">
      <c r="A347" s="106" t="s">
        <v>338</v>
      </c>
      <c r="B347" s="107" t="s">
        <v>135</v>
      </c>
      <c r="C347" s="107" t="s">
        <v>31</v>
      </c>
      <c r="D347" s="108">
        <f>SUM(D348:D349)</f>
        <v>16038</v>
      </c>
      <c r="E347" s="108">
        <f>SUM(E348:E349)</f>
        <v>100</v>
      </c>
      <c r="F347" s="108">
        <f>SUM(F348:F349)</f>
        <v>16138</v>
      </c>
      <c r="G347" s="92"/>
    </row>
    <row r="348" spans="1:7" ht="13.15" customHeight="1" x14ac:dyDescent="0.2">
      <c r="A348" s="109" t="s">
        <v>338</v>
      </c>
      <c r="B348" s="87" t="s">
        <v>138</v>
      </c>
      <c r="C348" s="87" t="s">
        <v>139</v>
      </c>
      <c r="D348" s="110">
        <f>926+11105</f>
        <v>12031</v>
      </c>
      <c r="E348" s="110"/>
      <c r="F348" s="110">
        <f>SUM(D348:E348)</f>
        <v>12031</v>
      </c>
      <c r="G348" s="92"/>
    </row>
    <row r="349" spans="1:7" ht="13.15" customHeight="1" x14ac:dyDescent="0.2">
      <c r="A349" s="109" t="s">
        <v>338</v>
      </c>
      <c r="B349" s="87" t="s">
        <v>142</v>
      </c>
      <c r="C349" s="87" t="s">
        <v>143</v>
      </c>
      <c r="D349" s="110">
        <f>309+3698</f>
        <v>4007</v>
      </c>
      <c r="E349" s="110">
        <v>100</v>
      </c>
      <c r="F349" s="110">
        <f>SUM(D349:E349)</f>
        <v>4107</v>
      </c>
      <c r="G349" s="92" t="s">
        <v>144</v>
      </c>
    </row>
    <row r="350" spans="1:7" ht="13.15" customHeight="1" x14ac:dyDescent="0.2">
      <c r="A350" s="106" t="s">
        <v>338</v>
      </c>
      <c r="B350" s="107" t="s">
        <v>145</v>
      </c>
      <c r="C350" s="107" t="s">
        <v>32</v>
      </c>
      <c r="D350" s="108">
        <f>SUM(D351:D354)</f>
        <v>37200</v>
      </c>
      <c r="E350" s="108">
        <f>SUM(E351:E354)</f>
        <v>3402</v>
      </c>
      <c r="F350" s="108">
        <f>SUM(F351:F354)</f>
        <v>40602</v>
      </c>
      <c r="G350" s="92"/>
    </row>
    <row r="351" spans="1:7" ht="13.15" customHeight="1" x14ac:dyDescent="0.2">
      <c r="A351" s="109" t="s">
        <v>338</v>
      </c>
      <c r="B351" s="87" t="s">
        <v>146</v>
      </c>
      <c r="C351" s="87" t="s">
        <v>147</v>
      </c>
      <c r="D351" s="110">
        <v>200</v>
      </c>
      <c r="E351" s="110"/>
      <c r="F351" s="110">
        <f>SUM(D351:E351)</f>
        <v>200</v>
      </c>
      <c r="G351" s="92"/>
    </row>
    <row r="352" spans="1:7" ht="13.15" customHeight="1" x14ac:dyDescent="0.2">
      <c r="A352" s="109" t="s">
        <v>338</v>
      </c>
      <c r="B352" s="87" t="s">
        <v>241</v>
      </c>
      <c r="C352" s="87" t="s">
        <v>242</v>
      </c>
      <c r="D352" s="110">
        <f>34000+1700</f>
        <v>35700</v>
      </c>
      <c r="E352" s="110">
        <f>1402+2000</f>
        <v>3402</v>
      </c>
      <c r="F352" s="110">
        <f>SUM(D352:E352)</f>
        <v>39102</v>
      </c>
      <c r="G352" s="118" t="s">
        <v>341</v>
      </c>
    </row>
    <row r="353" spans="1:7" ht="13.15" customHeight="1" x14ac:dyDescent="0.2">
      <c r="A353" s="109" t="s">
        <v>338</v>
      </c>
      <c r="B353" s="87" t="s">
        <v>154</v>
      </c>
      <c r="C353" s="87" t="s">
        <v>155</v>
      </c>
      <c r="D353" s="110">
        <v>900</v>
      </c>
      <c r="E353" s="110"/>
      <c r="F353" s="110">
        <f>SUM(D353:E353)</f>
        <v>900</v>
      </c>
      <c r="G353" s="92"/>
    </row>
    <row r="354" spans="1:7" ht="13.15" customHeight="1" x14ac:dyDescent="0.2">
      <c r="A354" s="109" t="s">
        <v>338</v>
      </c>
      <c r="B354" s="87" t="s">
        <v>199</v>
      </c>
      <c r="C354" s="87" t="s">
        <v>200</v>
      </c>
      <c r="D354" s="110">
        <f>400</f>
        <v>400</v>
      </c>
      <c r="E354" s="110"/>
      <c r="F354" s="110">
        <f>SUM(D354:E354)</f>
        <v>400</v>
      </c>
      <c r="G354" s="118"/>
    </row>
    <row r="355" spans="1:7" ht="13.15" customHeight="1" x14ac:dyDescent="0.2">
      <c r="A355" s="100" t="s">
        <v>342</v>
      </c>
      <c r="B355" s="101"/>
      <c r="C355" s="101" t="s">
        <v>343</v>
      </c>
      <c r="D355" s="102">
        <f>+D356+D359</f>
        <v>34040</v>
      </c>
      <c r="E355" s="102">
        <f>+E356+E359</f>
        <v>6260</v>
      </c>
      <c r="F355" s="102">
        <f>+F356+F359</f>
        <v>40300</v>
      </c>
      <c r="G355" s="92"/>
    </row>
    <row r="356" spans="1:7" ht="13.15" customHeight="1" x14ac:dyDescent="0.2">
      <c r="A356" s="103" t="s">
        <v>342</v>
      </c>
      <c r="B356" s="104" t="s">
        <v>166</v>
      </c>
      <c r="C356" s="104" t="s">
        <v>167</v>
      </c>
      <c r="D356" s="105">
        <f t="shared" ref="D356:F357" si="39">+D357</f>
        <v>29240</v>
      </c>
      <c r="E356" s="105">
        <f t="shared" si="39"/>
        <v>6260</v>
      </c>
      <c r="F356" s="105">
        <f t="shared" si="39"/>
        <v>35500</v>
      </c>
      <c r="G356" s="92"/>
    </row>
    <row r="357" spans="1:7" ht="13.15" customHeight="1" x14ac:dyDescent="0.2">
      <c r="A357" s="106" t="s">
        <v>342</v>
      </c>
      <c r="B357" s="107" t="s">
        <v>219</v>
      </c>
      <c r="C357" s="107" t="s">
        <v>220</v>
      </c>
      <c r="D357" s="108">
        <f t="shared" si="39"/>
        <v>29240</v>
      </c>
      <c r="E357" s="108">
        <f t="shared" si="39"/>
        <v>6260</v>
      </c>
      <c r="F357" s="108">
        <f t="shared" si="39"/>
        <v>35500</v>
      </c>
      <c r="G357" s="92"/>
    </row>
    <row r="358" spans="1:7" ht="13.15" customHeight="1" x14ac:dyDescent="0.2">
      <c r="A358" s="109" t="s">
        <v>342</v>
      </c>
      <c r="B358" s="87" t="s">
        <v>221</v>
      </c>
      <c r="C358" s="87" t="s">
        <v>222</v>
      </c>
      <c r="D358" s="110">
        <v>29240</v>
      </c>
      <c r="E358" s="110">
        <v>6260</v>
      </c>
      <c r="F358" s="110">
        <f>SUM(D358:E358)</f>
        <v>35500</v>
      </c>
      <c r="G358" s="118" t="s">
        <v>344</v>
      </c>
    </row>
    <row r="359" spans="1:7" ht="13.15" customHeight="1" x14ac:dyDescent="0.2">
      <c r="A359" s="103" t="s">
        <v>342</v>
      </c>
      <c r="B359" s="104" t="s">
        <v>133</v>
      </c>
      <c r="C359" s="104" t="s">
        <v>134</v>
      </c>
      <c r="D359" s="105">
        <f>+D360</f>
        <v>4800</v>
      </c>
      <c r="E359" s="105">
        <f>+E360</f>
        <v>0</v>
      </c>
      <c r="F359" s="105">
        <f>+F360</f>
        <v>4800</v>
      </c>
      <c r="G359" s="92"/>
    </row>
    <row r="360" spans="1:7" ht="13.15" customHeight="1" x14ac:dyDescent="0.2">
      <c r="A360" s="106" t="s">
        <v>342</v>
      </c>
      <c r="B360" s="107" t="s">
        <v>145</v>
      </c>
      <c r="C360" s="107" t="s">
        <v>32</v>
      </c>
      <c r="D360" s="108">
        <f>SUM(D361:D365)-D362</f>
        <v>4800</v>
      </c>
      <c r="E360" s="108">
        <f>SUM(E361:E365)-E362</f>
        <v>0</v>
      </c>
      <c r="F360" s="108">
        <f>SUM(F361:F365)-F362</f>
        <v>4800</v>
      </c>
      <c r="G360" s="92"/>
    </row>
    <row r="361" spans="1:7" ht="13.15" customHeight="1" x14ac:dyDescent="0.2">
      <c r="A361" s="109" t="s">
        <v>342</v>
      </c>
      <c r="B361" s="87" t="s">
        <v>146</v>
      </c>
      <c r="C361" s="87" t="s">
        <v>147</v>
      </c>
      <c r="D361" s="110">
        <v>0</v>
      </c>
      <c r="E361" s="110"/>
      <c r="F361" s="110">
        <f>SUM(D361:E361)</f>
        <v>0</v>
      </c>
      <c r="G361" s="92"/>
    </row>
    <row r="362" spans="1:7" ht="13.15" customHeight="1" x14ac:dyDescent="0.2">
      <c r="A362" s="111" t="s">
        <v>342</v>
      </c>
      <c r="B362" s="112" t="s">
        <v>176</v>
      </c>
      <c r="C362" s="112" t="s">
        <v>177</v>
      </c>
      <c r="D362" s="113">
        <f>SUM(D363:D364)</f>
        <v>4300</v>
      </c>
      <c r="E362" s="113">
        <f>SUM(E363:E364)</f>
        <v>0</v>
      </c>
      <c r="F362" s="113">
        <f>SUM(F363:F364)</f>
        <v>4300</v>
      </c>
      <c r="G362" s="92"/>
    </row>
    <row r="363" spans="1:7" ht="13.15" customHeight="1" x14ac:dyDescent="0.2">
      <c r="A363" s="114" t="s">
        <v>342</v>
      </c>
      <c r="B363" s="115" t="s">
        <v>180</v>
      </c>
      <c r="C363" s="115" t="s">
        <v>75</v>
      </c>
      <c r="D363" s="116">
        <v>4000</v>
      </c>
      <c r="E363" s="116"/>
      <c r="F363" s="116">
        <f>SUM(D363:E363)</f>
        <v>4000</v>
      </c>
      <c r="G363" s="92"/>
    </row>
    <row r="364" spans="1:7" ht="13.15" customHeight="1" x14ac:dyDescent="0.2">
      <c r="A364" s="114" t="s">
        <v>342</v>
      </c>
      <c r="B364" s="115" t="s">
        <v>181</v>
      </c>
      <c r="C364" s="115" t="s">
        <v>182</v>
      </c>
      <c r="D364" s="116">
        <v>300</v>
      </c>
      <c r="E364" s="116"/>
      <c r="F364" s="116">
        <f>SUM(D364:E364)</f>
        <v>300</v>
      </c>
      <c r="G364" s="92"/>
    </row>
    <row r="365" spans="1:7" ht="13.15" customHeight="1" x14ac:dyDescent="0.2">
      <c r="A365" s="109" t="s">
        <v>342</v>
      </c>
      <c r="B365" s="87" t="s">
        <v>199</v>
      </c>
      <c r="C365" s="87" t="s">
        <v>200</v>
      </c>
      <c r="D365" s="110">
        <v>500</v>
      </c>
      <c r="E365" s="110"/>
      <c r="F365" s="110">
        <f>SUM(D365:E365)</f>
        <v>500</v>
      </c>
      <c r="G365" s="92"/>
    </row>
    <row r="366" spans="1:7" ht="13.15" customHeight="1" x14ac:dyDescent="0.2">
      <c r="A366" s="97" t="s">
        <v>86</v>
      </c>
      <c r="B366" s="98"/>
      <c r="C366" s="98" t="s">
        <v>345</v>
      </c>
      <c r="D366" s="99">
        <f>+D367+D372</f>
        <v>42800</v>
      </c>
      <c r="E366" s="99">
        <f>+E367+E372</f>
        <v>40000</v>
      </c>
      <c r="F366" s="99">
        <f>+F367+F372</f>
        <v>82800</v>
      </c>
      <c r="G366" s="92"/>
    </row>
    <row r="367" spans="1:7" ht="13.15" customHeight="1" x14ac:dyDescent="0.2">
      <c r="A367" s="100" t="s">
        <v>346</v>
      </c>
      <c r="B367" s="101"/>
      <c r="C367" s="101" t="s">
        <v>347</v>
      </c>
      <c r="D367" s="102">
        <f t="shared" ref="D367:F368" si="40">+D368</f>
        <v>42800</v>
      </c>
      <c r="E367" s="102">
        <f t="shared" si="40"/>
        <v>10000</v>
      </c>
      <c r="F367" s="102">
        <f t="shared" si="40"/>
        <v>52800</v>
      </c>
      <c r="G367" s="92"/>
    </row>
    <row r="368" spans="1:7" ht="13.15" customHeight="1" x14ac:dyDescent="0.2">
      <c r="A368" s="103" t="s">
        <v>346</v>
      </c>
      <c r="B368" s="104" t="s">
        <v>166</v>
      </c>
      <c r="C368" s="104" t="s">
        <v>167</v>
      </c>
      <c r="D368" s="105">
        <f t="shared" si="40"/>
        <v>42800</v>
      </c>
      <c r="E368" s="105">
        <f t="shared" si="40"/>
        <v>10000</v>
      </c>
      <c r="F368" s="105">
        <f t="shared" si="40"/>
        <v>52800</v>
      </c>
      <c r="G368" s="92"/>
    </row>
    <row r="369" spans="1:7" ht="13.15" customHeight="1" x14ac:dyDescent="0.2">
      <c r="A369" s="106" t="s">
        <v>346</v>
      </c>
      <c r="B369" s="107" t="s">
        <v>219</v>
      </c>
      <c r="C369" s="107" t="s">
        <v>220</v>
      </c>
      <c r="D369" s="108">
        <f>SUM(D370:D371)</f>
        <v>42800</v>
      </c>
      <c r="E369" s="108">
        <f>SUM(E370:E371)</f>
        <v>10000</v>
      </c>
      <c r="F369" s="108">
        <f>SUM(F370:F371)</f>
        <v>52800</v>
      </c>
      <c r="G369" s="92"/>
    </row>
    <row r="370" spans="1:7" ht="13.15" customHeight="1" x14ac:dyDescent="0.2">
      <c r="A370" s="109" t="s">
        <v>346</v>
      </c>
      <c r="B370" s="87" t="s">
        <v>270</v>
      </c>
      <c r="C370" s="87" t="s">
        <v>271</v>
      </c>
      <c r="D370" s="110">
        <v>41510</v>
      </c>
      <c r="E370" s="110">
        <v>10000</v>
      </c>
      <c r="F370" s="110">
        <f>SUM(D370:E370)</f>
        <v>51510</v>
      </c>
      <c r="G370" s="92" t="s">
        <v>348</v>
      </c>
    </row>
    <row r="371" spans="1:7" ht="13.15" customHeight="1" x14ac:dyDescent="0.2">
      <c r="A371" s="109" t="s">
        <v>346</v>
      </c>
      <c r="B371" s="87" t="s">
        <v>232</v>
      </c>
      <c r="C371" s="87" t="s">
        <v>233</v>
      </c>
      <c r="D371" s="110">
        <v>1290</v>
      </c>
      <c r="E371" s="110"/>
      <c r="F371" s="110">
        <f>SUM(D371:E371)</f>
        <v>1290</v>
      </c>
      <c r="G371" s="92"/>
    </row>
    <row r="372" spans="1:7" ht="13.15" customHeight="1" x14ac:dyDescent="0.2">
      <c r="A372" s="100" t="s">
        <v>87</v>
      </c>
      <c r="B372" s="101"/>
      <c r="C372" s="101" t="s">
        <v>349</v>
      </c>
      <c r="D372" s="102">
        <f t="shared" ref="D372:F374" si="41">+D373</f>
        <v>0</v>
      </c>
      <c r="E372" s="102">
        <f t="shared" si="41"/>
        <v>30000</v>
      </c>
      <c r="F372" s="102">
        <f t="shared" si="41"/>
        <v>30000</v>
      </c>
      <c r="G372" s="92"/>
    </row>
    <row r="373" spans="1:7" ht="13.15" customHeight="1" x14ac:dyDescent="0.2">
      <c r="A373" s="103" t="s">
        <v>87</v>
      </c>
      <c r="B373" s="104" t="s">
        <v>133</v>
      </c>
      <c r="C373" s="104" t="s">
        <v>134</v>
      </c>
      <c r="D373" s="105">
        <f t="shared" si="41"/>
        <v>0</v>
      </c>
      <c r="E373" s="105">
        <f t="shared" si="41"/>
        <v>30000</v>
      </c>
      <c r="F373" s="105">
        <f t="shared" si="41"/>
        <v>30000</v>
      </c>
      <c r="G373" s="92"/>
    </row>
    <row r="374" spans="1:7" ht="13.15" customHeight="1" x14ac:dyDescent="0.2">
      <c r="A374" s="106" t="s">
        <v>87</v>
      </c>
      <c r="B374" s="107" t="s">
        <v>145</v>
      </c>
      <c r="C374" s="107" t="s">
        <v>32</v>
      </c>
      <c r="D374" s="108">
        <f t="shared" si="41"/>
        <v>0</v>
      </c>
      <c r="E374" s="108">
        <f t="shared" si="41"/>
        <v>30000</v>
      </c>
      <c r="F374" s="108">
        <f t="shared" si="41"/>
        <v>30000</v>
      </c>
      <c r="G374" s="92"/>
    </row>
    <row r="375" spans="1:7" ht="13.15" customHeight="1" x14ac:dyDescent="0.2">
      <c r="A375" s="109" t="s">
        <v>87</v>
      </c>
      <c r="B375" s="87" t="s">
        <v>199</v>
      </c>
      <c r="C375" s="87" t="s">
        <v>200</v>
      </c>
      <c r="D375" s="110">
        <v>0</v>
      </c>
      <c r="E375" s="110">
        <v>30000</v>
      </c>
      <c r="F375" s="110">
        <f>SUM(D375:E375)</f>
        <v>30000</v>
      </c>
      <c r="G375" s="92" t="s">
        <v>350</v>
      </c>
    </row>
    <row r="376" spans="1:7" ht="13.15" customHeight="1" x14ac:dyDescent="0.2">
      <c r="A376" s="97" t="s">
        <v>88</v>
      </c>
      <c r="B376" s="98"/>
      <c r="C376" s="98" t="s">
        <v>351</v>
      </c>
      <c r="D376" s="99">
        <f>+D377+D378+D417+D421+D426+D427+D431+D462+D478+D482+D519+D547+D551+D560+D564+D568</f>
        <v>2769091.4</v>
      </c>
      <c r="E376" s="99">
        <f>+E377+E378+E417+E421+E426+E427+E431+E462+E478+E482+E519+E547+E551+E555+E560+E564+E568</f>
        <v>-134505.85999999999</v>
      </c>
      <c r="F376" s="99">
        <f>+F377+F378+F417+F421+F426+F427+F431+F462+F478+F482+F519+F547+F551+F560+F564+F568</f>
        <v>2634585.54</v>
      </c>
      <c r="G376" s="92"/>
    </row>
    <row r="377" spans="1:7" ht="13.15" customHeight="1" x14ac:dyDescent="0.2">
      <c r="A377" s="100" t="s">
        <v>352</v>
      </c>
      <c r="B377" s="101"/>
      <c r="C377" s="101" t="s">
        <v>353</v>
      </c>
      <c r="D377" s="125">
        <v>265424</v>
      </c>
      <c r="E377" s="102">
        <v>-265424</v>
      </c>
      <c r="F377" s="102">
        <f>+E377+D377</f>
        <v>0</v>
      </c>
      <c r="G377" s="118" t="s">
        <v>354</v>
      </c>
    </row>
    <row r="378" spans="1:7" ht="13.15" customHeight="1" x14ac:dyDescent="0.2">
      <c r="A378" s="100" t="s">
        <v>355</v>
      </c>
      <c r="B378" s="101"/>
      <c r="C378" s="101" t="s">
        <v>356</v>
      </c>
      <c r="D378" s="102">
        <f>+D384+D379+D387+D414</f>
        <v>521407</v>
      </c>
      <c r="E378" s="102">
        <f t="shared" ref="E378:F378" si="42">+E384+E379+E387+E414</f>
        <v>186200</v>
      </c>
      <c r="F378" s="102">
        <f t="shared" si="42"/>
        <v>707607</v>
      </c>
      <c r="G378" s="92"/>
    </row>
    <row r="379" spans="1:7" ht="13.15" customHeight="1" x14ac:dyDescent="0.2">
      <c r="A379" s="103" t="s">
        <v>355</v>
      </c>
      <c r="B379" s="104" t="s">
        <v>127</v>
      </c>
      <c r="C379" s="104" t="s">
        <v>128</v>
      </c>
      <c r="D379" s="105">
        <v>0</v>
      </c>
      <c r="E379" s="105">
        <f>+E380+E384</f>
        <v>178500</v>
      </c>
      <c r="F379" s="105">
        <f>+F380</f>
        <v>178500</v>
      </c>
      <c r="G379" s="92"/>
    </row>
    <row r="380" spans="1:7" ht="13.15" customHeight="1" x14ac:dyDescent="0.2">
      <c r="A380" s="106" t="s">
        <v>355</v>
      </c>
      <c r="B380" s="107" t="s">
        <v>129</v>
      </c>
      <c r="C380" s="107" t="s">
        <v>130</v>
      </c>
      <c r="D380" s="108">
        <f>SUM(D381:D383)</f>
        <v>0</v>
      </c>
      <c r="E380" s="108">
        <f>SUM(E381:E383)</f>
        <v>178500</v>
      </c>
      <c r="F380" s="108">
        <f>SUM(F381:F383)</f>
        <v>178500</v>
      </c>
      <c r="G380" s="92"/>
    </row>
    <row r="381" spans="1:7" ht="13.15" customHeight="1" x14ac:dyDescent="0.2">
      <c r="A381" s="109" t="s">
        <v>355</v>
      </c>
      <c r="B381" s="87" t="s">
        <v>163</v>
      </c>
      <c r="C381" s="87" t="s">
        <v>164</v>
      </c>
      <c r="D381" s="110">
        <v>0</v>
      </c>
      <c r="E381" s="110">
        <f>17200+5300+93000+20000+23000+20000</f>
        <v>178500</v>
      </c>
      <c r="F381" s="110">
        <f>SUM(D381:E381)</f>
        <v>178500</v>
      </c>
      <c r="G381" s="92" t="s">
        <v>357</v>
      </c>
    </row>
    <row r="382" spans="1:7" ht="13.15" customHeight="1" x14ac:dyDescent="0.2">
      <c r="A382" s="109" t="s">
        <v>355</v>
      </c>
      <c r="B382" s="87" t="s">
        <v>247</v>
      </c>
      <c r="C382" s="87" t="s">
        <v>248</v>
      </c>
      <c r="D382" s="110">
        <v>0</v>
      </c>
      <c r="E382" s="110"/>
      <c r="F382" s="110">
        <f>SUM(D382:E382)</f>
        <v>0</v>
      </c>
      <c r="G382" s="92"/>
    </row>
    <row r="383" spans="1:7" ht="13.15" customHeight="1" x14ac:dyDescent="0.2">
      <c r="A383" s="109" t="s">
        <v>355</v>
      </c>
      <c r="B383" s="87" t="s">
        <v>131</v>
      </c>
      <c r="C383" s="87" t="s">
        <v>132</v>
      </c>
      <c r="D383" s="110">
        <v>0</v>
      </c>
      <c r="E383" s="110"/>
      <c r="F383" s="110">
        <f>SUM(D383:E383)</f>
        <v>0</v>
      </c>
      <c r="G383" s="92"/>
    </row>
    <row r="384" spans="1:7" ht="13.15" customHeight="1" x14ac:dyDescent="0.2">
      <c r="A384" s="106" t="s">
        <v>355</v>
      </c>
      <c r="B384" s="107" t="s">
        <v>358</v>
      </c>
      <c r="C384" s="107" t="s">
        <v>359</v>
      </c>
      <c r="D384" s="130">
        <f>SUM(D385:D386)</f>
        <v>3000</v>
      </c>
      <c r="E384" s="130">
        <f>SUM(E385:E386)</f>
        <v>0</v>
      </c>
      <c r="F384" s="130">
        <f>SUM(F385:F386)</f>
        <v>3000</v>
      </c>
      <c r="G384" s="92" t="s">
        <v>360</v>
      </c>
    </row>
    <row r="385" spans="1:7" ht="13.15" customHeight="1" x14ac:dyDescent="0.2">
      <c r="A385" s="109" t="s">
        <v>355</v>
      </c>
      <c r="B385" s="87" t="s">
        <v>361</v>
      </c>
      <c r="C385" s="87" t="s">
        <v>362</v>
      </c>
      <c r="D385" s="110">
        <v>0</v>
      </c>
      <c r="E385" s="110"/>
      <c r="F385" s="110">
        <f>SUM(D385:E385)</f>
        <v>0</v>
      </c>
      <c r="G385" s="92"/>
    </row>
    <row r="386" spans="1:7" ht="13.15" customHeight="1" x14ac:dyDescent="0.2">
      <c r="A386" s="109" t="s">
        <v>355</v>
      </c>
      <c r="B386" s="87" t="s">
        <v>363</v>
      </c>
      <c r="C386" s="87" t="s">
        <v>364</v>
      </c>
      <c r="D386" s="110">
        <v>3000</v>
      </c>
      <c r="E386" s="110"/>
      <c r="F386" s="110">
        <f>SUM(D386:E386)</f>
        <v>3000</v>
      </c>
      <c r="G386" s="92"/>
    </row>
    <row r="387" spans="1:7" ht="13.15" customHeight="1" x14ac:dyDescent="0.2">
      <c r="A387" s="103" t="s">
        <v>355</v>
      </c>
      <c r="B387" s="104" t="s">
        <v>133</v>
      </c>
      <c r="C387" s="104" t="s">
        <v>134</v>
      </c>
      <c r="D387" s="105">
        <f>+D388+D392</f>
        <v>518107</v>
      </c>
      <c r="E387" s="105">
        <f>+E388+E392</f>
        <v>7700</v>
      </c>
      <c r="F387" s="105">
        <f>+F388+F392</f>
        <v>525807</v>
      </c>
      <c r="G387" s="92"/>
    </row>
    <row r="388" spans="1:7" ht="13.15" customHeight="1" x14ac:dyDescent="0.2">
      <c r="A388" s="106" t="s">
        <v>355</v>
      </c>
      <c r="B388" s="107" t="s">
        <v>135</v>
      </c>
      <c r="C388" s="107" t="s">
        <v>31</v>
      </c>
      <c r="D388" s="108">
        <f>SUM(D389:D391)</f>
        <v>264607</v>
      </c>
      <c r="E388" s="108">
        <f>SUM(E389:E391)</f>
        <v>7700</v>
      </c>
      <c r="F388" s="108">
        <f>SUM(F389:F391)</f>
        <v>272307</v>
      </c>
      <c r="G388" s="92"/>
    </row>
    <row r="389" spans="1:7" ht="13.15" customHeight="1" x14ac:dyDescent="0.2">
      <c r="A389" s="109" t="s">
        <v>355</v>
      </c>
      <c r="B389" s="87" t="s">
        <v>138</v>
      </c>
      <c r="C389" s="87" t="s">
        <v>139</v>
      </c>
      <c r="D389" s="110">
        <f>198505-1500</f>
        <v>197005</v>
      </c>
      <c r="E389" s="110">
        <v>5000</v>
      </c>
      <c r="F389" s="110">
        <f>SUM(D389:E389)</f>
        <v>202005</v>
      </c>
      <c r="G389" s="118" t="s">
        <v>365</v>
      </c>
    </row>
    <row r="390" spans="1:7" ht="13.15" customHeight="1" x14ac:dyDescent="0.2">
      <c r="A390" s="109" t="s">
        <v>355</v>
      </c>
      <c r="B390" s="87" t="s">
        <v>174</v>
      </c>
      <c r="C390" s="87" t="s">
        <v>175</v>
      </c>
      <c r="D390" s="110">
        <v>1500</v>
      </c>
      <c r="E390" s="110"/>
      <c r="F390" s="110">
        <f>SUM(D390:E390)</f>
        <v>1500</v>
      </c>
      <c r="G390" s="92"/>
    </row>
    <row r="391" spans="1:7" ht="13.15" customHeight="1" x14ac:dyDescent="0.2">
      <c r="A391" s="109" t="s">
        <v>355</v>
      </c>
      <c r="B391" s="87" t="s">
        <v>142</v>
      </c>
      <c r="C391" s="87" t="s">
        <v>143</v>
      </c>
      <c r="D391" s="110">
        <v>66102</v>
      </c>
      <c r="E391" s="110">
        <v>2700</v>
      </c>
      <c r="F391" s="110">
        <f>SUM(D391:E391)</f>
        <v>68802</v>
      </c>
      <c r="G391" s="92" t="s">
        <v>144</v>
      </c>
    </row>
    <row r="392" spans="1:7" ht="13.15" customHeight="1" x14ac:dyDescent="0.2">
      <c r="A392" s="106" t="s">
        <v>355</v>
      </c>
      <c r="B392" s="107" t="s">
        <v>145</v>
      </c>
      <c r="C392" s="107" t="s">
        <v>32</v>
      </c>
      <c r="D392" s="108">
        <f>SUM(D393:D413)-D396</f>
        <v>253500</v>
      </c>
      <c r="E392" s="108">
        <f>SUM(E393:E413)-E396</f>
        <v>0</v>
      </c>
      <c r="F392" s="108">
        <f>SUM(F393:F413)-F396</f>
        <v>253500</v>
      </c>
      <c r="G392" s="92"/>
    </row>
    <row r="393" spans="1:7" ht="13.15" customHeight="1" x14ac:dyDescent="0.2">
      <c r="A393" s="109" t="s">
        <v>355</v>
      </c>
      <c r="B393" s="87" t="s">
        <v>146</v>
      </c>
      <c r="C393" s="87" t="s">
        <v>147</v>
      </c>
      <c r="D393" s="110">
        <v>6000</v>
      </c>
      <c r="E393" s="110">
        <v>300</v>
      </c>
      <c r="F393" s="110">
        <f>SUM(D393:E393)</f>
        <v>6300</v>
      </c>
      <c r="G393" s="92"/>
    </row>
    <row r="394" spans="1:7" ht="13.15" customHeight="1" x14ac:dyDescent="0.2">
      <c r="A394" s="109" t="s">
        <v>355</v>
      </c>
      <c r="B394" s="87" t="s">
        <v>148</v>
      </c>
      <c r="C394" s="87" t="s">
        <v>149</v>
      </c>
      <c r="D394" s="110">
        <v>100</v>
      </c>
      <c r="E394" s="110"/>
      <c r="F394" s="110">
        <f>SUM(D394:E394)</f>
        <v>100</v>
      </c>
      <c r="G394" s="92"/>
    </row>
    <row r="395" spans="1:7" ht="13.15" customHeight="1" x14ac:dyDescent="0.2">
      <c r="A395" s="109" t="s">
        <v>355</v>
      </c>
      <c r="B395" s="87" t="s">
        <v>150</v>
      </c>
      <c r="C395" s="87" t="s">
        <v>151</v>
      </c>
      <c r="D395" s="110">
        <v>1800</v>
      </c>
      <c r="E395" s="110"/>
      <c r="F395" s="110">
        <f>SUM(D395:E395)</f>
        <v>1800</v>
      </c>
      <c r="G395" s="92"/>
    </row>
    <row r="396" spans="1:7" ht="13.15" customHeight="1" x14ac:dyDescent="0.2">
      <c r="A396" s="111" t="s">
        <v>355</v>
      </c>
      <c r="B396" s="112" t="s">
        <v>176</v>
      </c>
      <c r="C396" s="112" t="s">
        <v>177</v>
      </c>
      <c r="D396" s="113">
        <f>SUM(D397:D404)</f>
        <v>161800</v>
      </c>
      <c r="E396" s="113">
        <f>SUM(E397:E404)</f>
        <v>1700</v>
      </c>
      <c r="F396" s="113">
        <f>SUM(F397:F404)</f>
        <v>163500</v>
      </c>
      <c r="G396" s="92"/>
    </row>
    <row r="397" spans="1:7" ht="13.15" customHeight="1" x14ac:dyDescent="0.2">
      <c r="A397" s="114" t="s">
        <v>355</v>
      </c>
      <c r="B397" s="115" t="s">
        <v>178</v>
      </c>
      <c r="C397" s="115" t="s">
        <v>179</v>
      </c>
      <c r="D397" s="116">
        <v>54400</v>
      </c>
      <c r="E397" s="116">
        <v>5000</v>
      </c>
      <c r="F397" s="116">
        <f t="shared" ref="F397:F413" si="43">SUM(D397:E397)</f>
        <v>59400</v>
      </c>
      <c r="G397" s="92"/>
    </row>
    <row r="398" spans="1:7" ht="13.15" customHeight="1" x14ac:dyDescent="0.2">
      <c r="A398" s="114" t="s">
        <v>355</v>
      </c>
      <c r="B398" s="115" t="s">
        <v>180</v>
      </c>
      <c r="C398" s="115" t="s">
        <v>75</v>
      </c>
      <c r="D398" s="116">
        <v>41300</v>
      </c>
      <c r="E398" s="116">
        <v>-4300</v>
      </c>
      <c r="F398" s="116">
        <f t="shared" si="43"/>
        <v>37000</v>
      </c>
      <c r="G398" s="92"/>
    </row>
    <row r="399" spans="1:7" ht="13.15" customHeight="1" x14ac:dyDescent="0.2">
      <c r="A399" s="114" t="s">
        <v>355</v>
      </c>
      <c r="B399" s="115" t="s">
        <v>181</v>
      </c>
      <c r="C399" s="115" t="s">
        <v>182</v>
      </c>
      <c r="D399" s="116">
        <v>10800</v>
      </c>
      <c r="E399" s="116"/>
      <c r="F399" s="116">
        <f t="shared" si="43"/>
        <v>10800</v>
      </c>
      <c r="G399" s="92"/>
    </row>
    <row r="400" spans="1:7" ht="13.15" customHeight="1" x14ac:dyDescent="0.2">
      <c r="A400" s="114" t="s">
        <v>355</v>
      </c>
      <c r="B400" s="115" t="s">
        <v>183</v>
      </c>
      <c r="C400" s="115" t="s">
        <v>184</v>
      </c>
      <c r="D400" s="116">
        <v>17900</v>
      </c>
      <c r="E400" s="116"/>
      <c r="F400" s="116">
        <f t="shared" si="43"/>
        <v>17900</v>
      </c>
      <c r="G400" s="92"/>
    </row>
    <row r="401" spans="1:7" ht="13.15" customHeight="1" x14ac:dyDescent="0.2">
      <c r="A401" s="114" t="s">
        <v>355</v>
      </c>
      <c r="B401" s="115" t="s">
        <v>185</v>
      </c>
      <c r="C401" s="115" t="s">
        <v>186</v>
      </c>
      <c r="D401" s="116">
        <v>29500</v>
      </c>
      <c r="E401" s="116"/>
      <c r="F401" s="116">
        <f t="shared" si="43"/>
        <v>29500</v>
      </c>
      <c r="G401" s="92"/>
    </row>
    <row r="402" spans="1:7" ht="13.15" customHeight="1" x14ac:dyDescent="0.2">
      <c r="A402" s="114" t="s">
        <v>355</v>
      </c>
      <c r="B402" s="115" t="s">
        <v>187</v>
      </c>
      <c r="C402" s="115" t="s">
        <v>188</v>
      </c>
      <c r="D402" s="116">
        <v>2900</v>
      </c>
      <c r="E402" s="116"/>
      <c r="F402" s="116">
        <f t="shared" si="43"/>
        <v>2900</v>
      </c>
      <c r="G402" s="92"/>
    </row>
    <row r="403" spans="1:7" ht="13.15" customHeight="1" x14ac:dyDescent="0.2">
      <c r="A403" s="114" t="s">
        <v>355</v>
      </c>
      <c r="B403" s="115" t="s">
        <v>189</v>
      </c>
      <c r="C403" s="115" t="s">
        <v>190</v>
      </c>
      <c r="D403" s="116">
        <v>2200</v>
      </c>
      <c r="E403" s="116">
        <v>2000</v>
      </c>
      <c r="F403" s="116">
        <f t="shared" si="43"/>
        <v>4200</v>
      </c>
      <c r="G403" s="118" t="s">
        <v>366</v>
      </c>
    </row>
    <row r="404" spans="1:7" ht="13.15" customHeight="1" x14ac:dyDescent="0.2">
      <c r="A404" s="114" t="s">
        <v>355</v>
      </c>
      <c r="B404" s="115" t="s">
        <v>191</v>
      </c>
      <c r="C404" s="115" t="s">
        <v>192</v>
      </c>
      <c r="D404" s="116">
        <v>2800</v>
      </c>
      <c r="E404" s="116">
        <v>-1000</v>
      </c>
      <c r="F404" s="116">
        <f t="shared" si="43"/>
        <v>1800</v>
      </c>
      <c r="G404" s="92"/>
    </row>
    <row r="405" spans="1:7" ht="13.15" customHeight="1" x14ac:dyDescent="0.2">
      <c r="A405" s="109" t="s">
        <v>355</v>
      </c>
      <c r="B405" s="87" t="s">
        <v>241</v>
      </c>
      <c r="C405" s="87" t="s">
        <v>242</v>
      </c>
      <c r="D405" s="110">
        <v>34400</v>
      </c>
      <c r="E405" s="110"/>
      <c r="F405" s="110">
        <f t="shared" si="43"/>
        <v>34400</v>
      </c>
      <c r="G405" s="92"/>
    </row>
    <row r="406" spans="1:7" ht="13.15" customHeight="1" x14ac:dyDescent="0.2">
      <c r="A406" s="109" t="s">
        <v>355</v>
      </c>
      <c r="B406" s="87" t="s">
        <v>152</v>
      </c>
      <c r="C406" s="87" t="s">
        <v>153</v>
      </c>
      <c r="D406" s="110">
        <v>13900</v>
      </c>
      <c r="E406" s="110"/>
      <c r="F406" s="110">
        <f t="shared" si="43"/>
        <v>13900</v>
      </c>
      <c r="G406" s="92"/>
    </row>
    <row r="407" spans="1:7" ht="13.15" customHeight="1" x14ac:dyDescent="0.2">
      <c r="A407" s="109" t="s">
        <v>355</v>
      </c>
      <c r="B407" s="87" t="s">
        <v>154</v>
      </c>
      <c r="C407" s="87" t="s">
        <v>155</v>
      </c>
      <c r="D407" s="110">
        <v>1000</v>
      </c>
      <c r="E407" s="110"/>
      <c r="F407" s="110">
        <f t="shared" si="43"/>
        <v>1000</v>
      </c>
      <c r="G407" s="92"/>
    </row>
    <row r="408" spans="1:7" ht="13.15" customHeight="1" x14ac:dyDescent="0.2">
      <c r="A408" s="109" t="s">
        <v>355</v>
      </c>
      <c r="B408" s="87" t="s">
        <v>156</v>
      </c>
      <c r="C408" s="87" t="s">
        <v>157</v>
      </c>
      <c r="D408" s="110">
        <v>24300</v>
      </c>
      <c r="E408" s="110">
        <v>-2000</v>
      </c>
      <c r="F408" s="110">
        <f t="shared" si="43"/>
        <v>22300</v>
      </c>
      <c r="G408" s="118" t="s">
        <v>367</v>
      </c>
    </row>
    <row r="409" spans="1:7" ht="13.15" customHeight="1" x14ac:dyDescent="0.2">
      <c r="A409" s="109" t="s">
        <v>355</v>
      </c>
      <c r="B409" s="87" t="s">
        <v>368</v>
      </c>
      <c r="C409" s="87" t="s">
        <v>369</v>
      </c>
      <c r="D409" s="110">
        <v>0</v>
      </c>
      <c r="E409" s="110"/>
      <c r="F409" s="110">
        <f t="shared" si="43"/>
        <v>0</v>
      </c>
      <c r="G409" s="92"/>
    </row>
    <row r="410" spans="1:7" ht="13.15" customHeight="1" x14ac:dyDescent="0.2">
      <c r="A410" s="109" t="s">
        <v>355</v>
      </c>
      <c r="B410" s="87" t="s">
        <v>158</v>
      </c>
      <c r="C410" s="87" t="s">
        <v>159</v>
      </c>
      <c r="D410" s="110">
        <v>200</v>
      </c>
      <c r="E410" s="110"/>
      <c r="F410" s="110">
        <f t="shared" si="43"/>
        <v>200</v>
      </c>
      <c r="G410" s="92"/>
    </row>
    <row r="411" spans="1:7" ht="13.15" customHeight="1" x14ac:dyDescent="0.2">
      <c r="A411" s="109" t="s">
        <v>355</v>
      </c>
      <c r="B411" s="87" t="s">
        <v>195</v>
      </c>
      <c r="C411" s="87" t="s">
        <v>196</v>
      </c>
      <c r="D411" s="110">
        <v>8000</v>
      </c>
      <c r="E411" s="110"/>
      <c r="F411" s="110">
        <f t="shared" si="43"/>
        <v>8000</v>
      </c>
      <c r="G411" s="92"/>
    </row>
    <row r="412" spans="1:7" ht="13.15" customHeight="1" x14ac:dyDescent="0.2">
      <c r="A412" s="109" t="s">
        <v>355</v>
      </c>
      <c r="B412" s="87" t="s">
        <v>197</v>
      </c>
      <c r="C412" s="87" t="s">
        <v>198</v>
      </c>
      <c r="D412" s="110">
        <v>0</v>
      </c>
      <c r="E412" s="110"/>
      <c r="F412" s="110">
        <f t="shared" si="43"/>
        <v>0</v>
      </c>
      <c r="G412" s="92"/>
    </row>
    <row r="413" spans="1:7" ht="13.15" customHeight="1" x14ac:dyDescent="0.2">
      <c r="A413" s="109" t="s">
        <v>355</v>
      </c>
      <c r="B413" s="87" t="s">
        <v>199</v>
      </c>
      <c r="C413" s="87" t="s">
        <v>200</v>
      </c>
      <c r="D413" s="110">
        <v>2000</v>
      </c>
      <c r="E413" s="110"/>
      <c r="F413" s="110">
        <f t="shared" si="43"/>
        <v>2000</v>
      </c>
      <c r="G413" s="92"/>
    </row>
    <row r="414" spans="1:7" ht="13.15" customHeight="1" x14ac:dyDescent="0.2">
      <c r="A414" s="103" t="s">
        <v>355</v>
      </c>
      <c r="B414" s="104" t="s">
        <v>201</v>
      </c>
      <c r="C414" s="104" t="s">
        <v>33</v>
      </c>
      <c r="D414" s="105">
        <f t="shared" ref="D414:F415" si="44">+D415</f>
        <v>300</v>
      </c>
      <c r="E414" s="105">
        <f t="shared" si="44"/>
        <v>0</v>
      </c>
      <c r="F414" s="105">
        <f t="shared" si="44"/>
        <v>300</v>
      </c>
      <c r="G414" s="92"/>
    </row>
    <row r="415" spans="1:7" ht="13.15" customHeight="1" x14ac:dyDescent="0.2">
      <c r="A415" s="106" t="s">
        <v>355</v>
      </c>
      <c r="B415" s="107" t="s">
        <v>226</v>
      </c>
      <c r="C415" s="107" t="s">
        <v>227</v>
      </c>
      <c r="D415" s="108">
        <f t="shared" si="44"/>
        <v>300</v>
      </c>
      <c r="E415" s="108">
        <f t="shared" si="44"/>
        <v>0</v>
      </c>
      <c r="F415" s="108">
        <f t="shared" si="44"/>
        <v>300</v>
      </c>
      <c r="G415" s="92"/>
    </row>
    <row r="416" spans="1:7" ht="13.15" customHeight="1" x14ac:dyDescent="0.2">
      <c r="A416" s="109" t="s">
        <v>355</v>
      </c>
      <c r="B416" s="87" t="s">
        <v>370</v>
      </c>
      <c r="C416" s="87" t="s">
        <v>371</v>
      </c>
      <c r="D416" s="110">
        <f>25*12</f>
        <v>300</v>
      </c>
      <c r="E416" s="110"/>
      <c r="F416" s="110">
        <f>SUM(D416:E416)</f>
        <v>300</v>
      </c>
      <c r="G416" s="92"/>
    </row>
    <row r="417" spans="1:7" ht="13.15" customHeight="1" x14ac:dyDescent="0.2">
      <c r="A417" s="131">
        <v>810204</v>
      </c>
      <c r="B417" s="101"/>
      <c r="C417" s="101" t="s">
        <v>372</v>
      </c>
      <c r="D417" s="102">
        <f t="shared" ref="D417:F419" si="45">+D418</f>
        <v>160000</v>
      </c>
      <c r="E417" s="102">
        <f t="shared" si="45"/>
        <v>0</v>
      </c>
      <c r="F417" s="102">
        <f t="shared" si="45"/>
        <v>160000</v>
      </c>
      <c r="G417" s="92"/>
    </row>
    <row r="418" spans="1:7" ht="13.15" customHeight="1" x14ac:dyDescent="0.2">
      <c r="A418" s="132">
        <v>810204</v>
      </c>
      <c r="B418" s="104" t="s">
        <v>133</v>
      </c>
      <c r="C418" s="104" t="s">
        <v>134</v>
      </c>
      <c r="D418" s="105">
        <f t="shared" si="45"/>
        <v>160000</v>
      </c>
      <c r="E418" s="105">
        <f t="shared" si="45"/>
        <v>0</v>
      </c>
      <c r="F418" s="105">
        <f t="shared" si="45"/>
        <v>160000</v>
      </c>
      <c r="G418" s="92"/>
    </row>
    <row r="419" spans="1:7" ht="13.15" customHeight="1" x14ac:dyDescent="0.2">
      <c r="A419" s="133">
        <v>810204</v>
      </c>
      <c r="B419" s="107" t="s">
        <v>145</v>
      </c>
      <c r="C419" s="107" t="s">
        <v>32</v>
      </c>
      <c r="D419" s="108">
        <f t="shared" si="45"/>
        <v>160000</v>
      </c>
      <c r="E419" s="108">
        <f t="shared" si="45"/>
        <v>0</v>
      </c>
      <c r="F419" s="108">
        <f t="shared" si="45"/>
        <v>160000</v>
      </c>
      <c r="G419" s="92"/>
    </row>
    <row r="420" spans="1:7" ht="13.15" customHeight="1" x14ac:dyDescent="0.2">
      <c r="A420" s="134">
        <v>810204</v>
      </c>
      <c r="B420" s="87" t="s">
        <v>199</v>
      </c>
      <c r="C420" s="87" t="s">
        <v>200</v>
      </c>
      <c r="D420" s="110">
        <v>160000</v>
      </c>
      <c r="E420" s="110"/>
      <c r="F420" s="110">
        <f>SUM(D420:E420)</f>
        <v>160000</v>
      </c>
      <c r="G420" s="92"/>
    </row>
    <row r="421" spans="1:7" ht="13.15" customHeight="1" x14ac:dyDescent="0.2">
      <c r="A421" s="100" t="s">
        <v>373</v>
      </c>
      <c r="B421" s="101"/>
      <c r="C421" s="101" t="s">
        <v>374</v>
      </c>
      <c r="D421" s="102">
        <f t="shared" ref="D421:F422" si="46">+D422</f>
        <v>0</v>
      </c>
      <c r="E421" s="102">
        <f t="shared" si="46"/>
        <v>5000</v>
      </c>
      <c r="F421" s="102">
        <f t="shared" si="46"/>
        <v>91080</v>
      </c>
      <c r="G421" s="92"/>
    </row>
    <row r="422" spans="1:7" ht="13.15" customHeight="1" x14ac:dyDescent="0.2">
      <c r="A422" s="103" t="s">
        <v>373</v>
      </c>
      <c r="B422" s="104" t="s">
        <v>166</v>
      </c>
      <c r="C422" s="104" t="s">
        <v>167</v>
      </c>
      <c r="D422" s="105">
        <f t="shared" si="46"/>
        <v>0</v>
      </c>
      <c r="E422" s="105">
        <f t="shared" si="46"/>
        <v>5000</v>
      </c>
      <c r="F422" s="105">
        <f t="shared" si="46"/>
        <v>91080</v>
      </c>
      <c r="G422" s="92"/>
    </row>
    <row r="423" spans="1:7" ht="13.15" customHeight="1" x14ac:dyDescent="0.2">
      <c r="A423" s="106" t="s">
        <v>373</v>
      </c>
      <c r="B423" s="107" t="s">
        <v>219</v>
      </c>
      <c r="C423" s="107" t="s">
        <v>220</v>
      </c>
      <c r="D423" s="108">
        <f>SUM(D424:D425)</f>
        <v>0</v>
      </c>
      <c r="E423" s="108">
        <f>SUM(E424:E425)</f>
        <v>5000</v>
      </c>
      <c r="F423" s="108">
        <f>SUM(F424:F425)</f>
        <v>91080</v>
      </c>
      <c r="G423" s="92"/>
    </row>
    <row r="424" spans="1:7" ht="13.15" customHeight="1" x14ac:dyDescent="0.2">
      <c r="A424" s="109" t="s">
        <v>373</v>
      </c>
      <c r="B424" s="87" t="s">
        <v>221</v>
      </c>
      <c r="C424" s="87" t="s">
        <v>222</v>
      </c>
      <c r="D424" s="110">
        <v>0</v>
      </c>
      <c r="E424" s="110">
        <v>5000</v>
      </c>
      <c r="F424" s="110">
        <f>8000+8000+8000+29530+32550+E424</f>
        <v>91080</v>
      </c>
      <c r="G424" s="92" t="s">
        <v>375</v>
      </c>
    </row>
    <row r="425" spans="1:7" ht="13.15" customHeight="1" x14ac:dyDescent="0.2">
      <c r="A425" s="109" t="s">
        <v>373</v>
      </c>
      <c r="B425" s="87" t="s">
        <v>232</v>
      </c>
      <c r="C425" s="87" t="s">
        <v>233</v>
      </c>
      <c r="D425" s="110">
        <v>0</v>
      </c>
      <c r="E425" s="110"/>
      <c r="F425" s="110">
        <f>SUM(D425:E425)</f>
        <v>0</v>
      </c>
      <c r="G425" s="92"/>
    </row>
    <row r="426" spans="1:7" ht="13.15" customHeight="1" x14ac:dyDescent="0.2">
      <c r="A426" s="100" t="s">
        <v>376</v>
      </c>
      <c r="B426" s="101"/>
      <c r="C426" s="101" t="s">
        <v>377</v>
      </c>
      <c r="D426" s="102">
        <v>377073</v>
      </c>
      <c r="E426" s="102">
        <v>-377073</v>
      </c>
      <c r="F426" s="102">
        <f>+E426+D426</f>
        <v>0</v>
      </c>
      <c r="G426" s="118" t="s">
        <v>378</v>
      </c>
    </row>
    <row r="427" spans="1:7" ht="13.15" customHeight="1" x14ac:dyDescent="0.2">
      <c r="A427" s="100" t="s">
        <v>379</v>
      </c>
      <c r="B427" s="101"/>
      <c r="C427" s="101" t="s">
        <v>380</v>
      </c>
      <c r="D427" s="102">
        <f t="shared" ref="D427:F429" si="47">+D428</f>
        <v>152850</v>
      </c>
      <c r="E427" s="102">
        <f t="shared" si="47"/>
        <v>0</v>
      </c>
      <c r="F427" s="102">
        <f t="shared" si="47"/>
        <v>152850</v>
      </c>
      <c r="G427" s="92"/>
    </row>
    <row r="428" spans="1:7" ht="13.15" customHeight="1" x14ac:dyDescent="0.2">
      <c r="A428" s="103" t="s">
        <v>379</v>
      </c>
      <c r="B428" s="104" t="s">
        <v>133</v>
      </c>
      <c r="C428" s="104" t="s">
        <v>134</v>
      </c>
      <c r="D428" s="105">
        <f t="shared" si="47"/>
        <v>152850</v>
      </c>
      <c r="E428" s="105">
        <f t="shared" si="47"/>
        <v>0</v>
      </c>
      <c r="F428" s="105">
        <f t="shared" si="47"/>
        <v>152850</v>
      </c>
      <c r="G428" s="92"/>
    </row>
    <row r="429" spans="1:7" ht="13.15" customHeight="1" x14ac:dyDescent="0.2">
      <c r="A429" s="106" t="s">
        <v>379</v>
      </c>
      <c r="B429" s="107" t="s">
        <v>145</v>
      </c>
      <c r="C429" s="107" t="s">
        <v>32</v>
      </c>
      <c r="D429" s="108">
        <f t="shared" si="47"/>
        <v>152850</v>
      </c>
      <c r="E429" s="108">
        <f t="shared" si="47"/>
        <v>0</v>
      </c>
      <c r="F429" s="108">
        <f t="shared" si="47"/>
        <v>152850</v>
      </c>
      <c r="G429" s="92"/>
    </row>
    <row r="430" spans="1:7" ht="13.15" customHeight="1" x14ac:dyDescent="0.2">
      <c r="A430" s="109" t="s">
        <v>379</v>
      </c>
      <c r="B430" s="87" t="s">
        <v>381</v>
      </c>
      <c r="C430" s="87" t="s">
        <v>382</v>
      </c>
      <c r="D430" s="110">
        <v>152850</v>
      </c>
      <c r="E430" s="110"/>
      <c r="F430" s="110">
        <f>SUM(D430:E430)</f>
        <v>152850</v>
      </c>
      <c r="G430" s="92"/>
    </row>
    <row r="431" spans="1:7" ht="13.15" customHeight="1" x14ac:dyDescent="0.2">
      <c r="A431" s="100" t="s">
        <v>383</v>
      </c>
      <c r="B431" s="101"/>
      <c r="C431" s="101" t="s">
        <v>384</v>
      </c>
      <c r="D431" s="102">
        <f>+D432+D435</f>
        <v>113876.4</v>
      </c>
      <c r="E431" s="102">
        <f>+E432+E435</f>
        <v>-1557</v>
      </c>
      <c r="F431" s="102">
        <f>+F432+F435</f>
        <v>112319.4</v>
      </c>
      <c r="G431" s="92"/>
    </row>
    <row r="432" spans="1:7" ht="13.15" customHeight="1" x14ac:dyDescent="0.2">
      <c r="A432" s="103" t="s">
        <v>383</v>
      </c>
      <c r="B432" s="104" t="s">
        <v>166</v>
      </c>
      <c r="C432" s="104" t="s">
        <v>167</v>
      </c>
      <c r="D432" s="105">
        <f>+D433</f>
        <v>3600</v>
      </c>
      <c r="E432" s="105">
        <f>+E433</f>
        <v>-2000</v>
      </c>
      <c r="F432" s="105">
        <f>+F433</f>
        <v>1600</v>
      </c>
      <c r="G432" s="92"/>
    </row>
    <row r="433" spans="1:7" ht="13.15" customHeight="1" x14ac:dyDescent="0.2">
      <c r="A433" s="106" t="s">
        <v>383</v>
      </c>
      <c r="B433" s="107" t="s">
        <v>219</v>
      </c>
      <c r="C433" s="107" t="s">
        <v>220</v>
      </c>
      <c r="D433" s="108">
        <f>SUM(D434:D434)</f>
        <v>3600</v>
      </c>
      <c r="E433" s="108">
        <f>SUM(E434:E434)</f>
        <v>-2000</v>
      </c>
      <c r="F433" s="108">
        <f>SUM(F434:F434)</f>
        <v>1600</v>
      </c>
      <c r="G433" s="92"/>
    </row>
    <row r="434" spans="1:7" ht="13.15" customHeight="1" x14ac:dyDescent="0.2">
      <c r="A434" s="109" t="s">
        <v>383</v>
      </c>
      <c r="B434" s="87" t="s">
        <v>221</v>
      </c>
      <c r="C434" s="87" t="s">
        <v>222</v>
      </c>
      <c r="D434" s="110">
        <f>1600+2000</f>
        <v>3600</v>
      </c>
      <c r="E434" s="110">
        <v>-2000</v>
      </c>
      <c r="F434" s="110">
        <f>SUM(D434:E434)</f>
        <v>1600</v>
      </c>
      <c r="G434" s="92" t="s">
        <v>385</v>
      </c>
    </row>
    <row r="435" spans="1:7" ht="13.15" customHeight="1" x14ac:dyDescent="0.2">
      <c r="A435" s="103" t="s">
        <v>383</v>
      </c>
      <c r="B435" s="104" t="s">
        <v>133</v>
      </c>
      <c r="C435" s="104" t="s">
        <v>134</v>
      </c>
      <c r="D435" s="105">
        <f>+D436+D440</f>
        <v>110276.4</v>
      </c>
      <c r="E435" s="105">
        <f>+E436+E440</f>
        <v>443</v>
      </c>
      <c r="F435" s="105">
        <f>+F436+F440</f>
        <v>110719.4</v>
      </c>
      <c r="G435" s="92"/>
    </row>
    <row r="436" spans="1:7" ht="13.15" customHeight="1" x14ac:dyDescent="0.2">
      <c r="A436" s="106" t="s">
        <v>383</v>
      </c>
      <c r="B436" s="107" t="s">
        <v>135</v>
      </c>
      <c r="C436" s="107" t="s">
        <v>31</v>
      </c>
      <c r="D436" s="108">
        <f>SUM(D437:D439)</f>
        <v>60687</v>
      </c>
      <c r="E436" s="108">
        <f>SUM(E437:E439)</f>
        <v>-12180</v>
      </c>
      <c r="F436" s="108">
        <f>SUM(F437:F439)</f>
        <v>48507</v>
      </c>
      <c r="G436" s="92"/>
    </row>
    <row r="437" spans="1:7" ht="13.15" customHeight="1" x14ac:dyDescent="0.2">
      <c r="A437" s="109" t="s">
        <v>383</v>
      </c>
      <c r="B437" s="87" t="s">
        <v>138</v>
      </c>
      <c r="C437" s="87" t="s">
        <v>139</v>
      </c>
      <c r="D437" s="110">
        <v>45527</v>
      </c>
      <c r="E437" s="110">
        <f>-12000+2000</f>
        <v>-10000</v>
      </c>
      <c r="F437" s="110">
        <f>SUM(D437:E437)</f>
        <v>35527</v>
      </c>
      <c r="G437" s="118" t="s">
        <v>386</v>
      </c>
    </row>
    <row r="438" spans="1:7" ht="13.15" customHeight="1" x14ac:dyDescent="0.2">
      <c r="A438" s="109" t="s">
        <v>383</v>
      </c>
      <c r="B438" s="87" t="s">
        <v>174</v>
      </c>
      <c r="C438" s="87" t="s">
        <v>175</v>
      </c>
      <c r="D438" s="110"/>
      <c r="E438" s="110">
        <f>77*10</f>
        <v>770</v>
      </c>
      <c r="F438" s="110">
        <f>SUM(D438:E438)</f>
        <v>770</v>
      </c>
      <c r="G438" s="118" t="s">
        <v>387</v>
      </c>
    </row>
    <row r="439" spans="1:7" ht="13.15" customHeight="1" x14ac:dyDescent="0.2">
      <c r="A439" s="109" t="s">
        <v>383</v>
      </c>
      <c r="B439" s="87" t="s">
        <v>142</v>
      </c>
      <c r="C439" s="87" t="s">
        <v>143</v>
      </c>
      <c r="D439" s="110">
        <v>15160</v>
      </c>
      <c r="E439" s="135">
        <f>-4000+800+(25*10)</f>
        <v>-2950</v>
      </c>
      <c r="F439" s="110">
        <f>SUM(D439:E439)</f>
        <v>12210</v>
      </c>
      <c r="G439" s="92" t="s">
        <v>144</v>
      </c>
    </row>
    <row r="440" spans="1:7" ht="13.15" customHeight="1" x14ac:dyDescent="0.2">
      <c r="A440" s="106" t="s">
        <v>383</v>
      </c>
      <c r="B440" s="107" t="s">
        <v>145</v>
      </c>
      <c r="C440" s="107" t="s">
        <v>32</v>
      </c>
      <c r="D440" s="108">
        <f>SUM(D441:D461)-D444</f>
        <v>49589.399999999994</v>
      </c>
      <c r="E440" s="108">
        <f>SUM(E441:E461)-E444</f>
        <v>12623</v>
      </c>
      <c r="F440" s="108">
        <f>SUM(F441:F461)-F444</f>
        <v>62212.399999999994</v>
      </c>
      <c r="G440" s="92"/>
    </row>
    <row r="441" spans="1:7" ht="13.15" customHeight="1" x14ac:dyDescent="0.2">
      <c r="A441" s="109" t="s">
        <v>383</v>
      </c>
      <c r="B441" s="87" t="s">
        <v>146</v>
      </c>
      <c r="C441" s="87" t="s">
        <v>147</v>
      </c>
      <c r="D441" s="110">
        <v>2639.4</v>
      </c>
      <c r="E441" s="110">
        <f>122.6+177.4</f>
        <v>300</v>
      </c>
      <c r="F441" s="110">
        <f>SUM(D441:E441)</f>
        <v>2939.4</v>
      </c>
      <c r="G441" s="92" t="s">
        <v>388</v>
      </c>
    </row>
    <row r="442" spans="1:7" ht="13.15" customHeight="1" x14ac:dyDescent="0.2">
      <c r="A442" s="109" t="s">
        <v>383</v>
      </c>
      <c r="B442" s="87" t="s">
        <v>148</v>
      </c>
      <c r="C442" s="87" t="s">
        <v>149</v>
      </c>
      <c r="D442" s="110">
        <v>200</v>
      </c>
      <c r="E442" s="110">
        <v>500</v>
      </c>
      <c r="F442" s="110">
        <f>SUM(D442:E442)</f>
        <v>700</v>
      </c>
      <c r="G442" s="92" t="s">
        <v>388</v>
      </c>
    </row>
    <row r="443" spans="1:7" ht="13.15" customHeight="1" x14ac:dyDescent="0.2">
      <c r="A443" s="109" t="s">
        <v>383</v>
      </c>
      <c r="B443" s="87" t="s">
        <v>150</v>
      </c>
      <c r="C443" s="87" t="s">
        <v>151</v>
      </c>
      <c r="D443" s="110">
        <v>200</v>
      </c>
      <c r="E443" s="110">
        <f>200+300</f>
        <v>500</v>
      </c>
      <c r="F443" s="110">
        <f>SUM(D443:E443)</f>
        <v>700</v>
      </c>
      <c r="G443" s="92" t="s">
        <v>388</v>
      </c>
    </row>
    <row r="444" spans="1:7" ht="13.15" customHeight="1" x14ac:dyDescent="0.2">
      <c r="A444" s="111" t="s">
        <v>383</v>
      </c>
      <c r="B444" s="112" t="s">
        <v>176</v>
      </c>
      <c r="C444" s="112" t="s">
        <v>177</v>
      </c>
      <c r="D444" s="113">
        <f>SUM(D445:D453)</f>
        <v>23700</v>
      </c>
      <c r="E444" s="113">
        <f>SUM(E445:E453)</f>
        <v>0</v>
      </c>
      <c r="F444" s="113">
        <f>SUM(F445:F453)</f>
        <v>23700</v>
      </c>
      <c r="G444" s="92"/>
    </row>
    <row r="445" spans="1:7" ht="13.15" customHeight="1" x14ac:dyDescent="0.2">
      <c r="A445" s="114" t="s">
        <v>383</v>
      </c>
      <c r="B445" s="115" t="s">
        <v>178</v>
      </c>
      <c r="C445" s="115" t="s">
        <v>179</v>
      </c>
      <c r="D445" s="116">
        <v>12500</v>
      </c>
      <c r="E445" s="116"/>
      <c r="F445" s="116">
        <f t="shared" ref="F445:F461" si="48">SUM(D445:E445)</f>
        <v>12500</v>
      </c>
      <c r="G445" s="92"/>
    </row>
    <row r="446" spans="1:7" ht="13.15" customHeight="1" x14ac:dyDescent="0.2">
      <c r="A446" s="114" t="s">
        <v>383</v>
      </c>
      <c r="B446" s="115" t="s">
        <v>180</v>
      </c>
      <c r="C446" s="115" t="s">
        <v>75</v>
      </c>
      <c r="D446" s="116">
        <v>3700</v>
      </c>
      <c r="E446" s="116"/>
      <c r="F446" s="116">
        <f t="shared" si="48"/>
        <v>3700</v>
      </c>
      <c r="G446" s="92"/>
    </row>
    <row r="447" spans="1:7" ht="13.15" customHeight="1" x14ac:dyDescent="0.2">
      <c r="A447" s="114" t="s">
        <v>383</v>
      </c>
      <c r="B447" s="115" t="s">
        <v>181</v>
      </c>
      <c r="C447" s="115" t="s">
        <v>182</v>
      </c>
      <c r="D447" s="116">
        <v>600</v>
      </c>
      <c r="E447" s="116"/>
      <c r="F447" s="116">
        <f t="shared" si="48"/>
        <v>600</v>
      </c>
      <c r="G447" s="92"/>
    </row>
    <row r="448" spans="1:7" ht="13.15" customHeight="1" x14ac:dyDescent="0.2">
      <c r="A448" s="114" t="s">
        <v>383</v>
      </c>
      <c r="B448" s="115" t="s">
        <v>183</v>
      </c>
      <c r="C448" s="115" t="s">
        <v>184</v>
      </c>
      <c r="D448" s="116">
        <v>2000</v>
      </c>
      <c r="E448" s="116"/>
      <c r="F448" s="116">
        <f t="shared" si="48"/>
        <v>2000</v>
      </c>
      <c r="G448" s="92"/>
    </row>
    <row r="449" spans="1:7" ht="13.15" customHeight="1" x14ac:dyDescent="0.2">
      <c r="A449" s="114" t="s">
        <v>383</v>
      </c>
      <c r="B449" s="115" t="s">
        <v>185</v>
      </c>
      <c r="C449" s="115" t="s">
        <v>186</v>
      </c>
      <c r="D449" s="116">
        <v>2400</v>
      </c>
      <c r="E449" s="116"/>
      <c r="F449" s="116">
        <f t="shared" si="48"/>
        <v>2400</v>
      </c>
      <c r="G449" s="92"/>
    </row>
    <row r="450" spans="1:7" ht="13.15" customHeight="1" x14ac:dyDescent="0.2">
      <c r="A450" s="114" t="s">
        <v>383</v>
      </c>
      <c r="B450" s="115" t="s">
        <v>187</v>
      </c>
      <c r="C450" s="115" t="s">
        <v>188</v>
      </c>
      <c r="D450" s="116">
        <v>800</v>
      </c>
      <c r="E450" s="116"/>
      <c r="F450" s="116">
        <f t="shared" si="48"/>
        <v>800</v>
      </c>
      <c r="G450" s="92"/>
    </row>
    <row r="451" spans="1:7" ht="13.15" customHeight="1" x14ac:dyDescent="0.2">
      <c r="A451" s="114" t="s">
        <v>383</v>
      </c>
      <c r="B451" s="115" t="s">
        <v>189</v>
      </c>
      <c r="C451" s="115" t="s">
        <v>190</v>
      </c>
      <c r="D451" s="116">
        <v>0</v>
      </c>
      <c r="E451" s="116"/>
      <c r="F451" s="116">
        <f t="shared" si="48"/>
        <v>0</v>
      </c>
      <c r="G451" s="92"/>
    </row>
    <row r="452" spans="1:7" ht="13.15" customHeight="1" x14ac:dyDescent="0.2">
      <c r="A452" s="114" t="s">
        <v>383</v>
      </c>
      <c r="B452" s="115" t="s">
        <v>191</v>
      </c>
      <c r="C452" s="115" t="s">
        <v>192</v>
      </c>
      <c r="D452" s="116">
        <v>0</v>
      </c>
      <c r="E452" s="116"/>
      <c r="F452" s="116">
        <f t="shared" si="48"/>
        <v>0</v>
      </c>
      <c r="G452" s="92"/>
    </row>
    <row r="453" spans="1:7" ht="13.15" customHeight="1" x14ac:dyDescent="0.2">
      <c r="A453" s="114" t="s">
        <v>383</v>
      </c>
      <c r="B453" s="115" t="s">
        <v>193</v>
      </c>
      <c r="C453" s="115" t="s">
        <v>194</v>
      </c>
      <c r="D453" s="116">
        <v>1700</v>
      </c>
      <c r="E453" s="116"/>
      <c r="F453" s="116">
        <f t="shared" si="48"/>
        <v>1700</v>
      </c>
      <c r="G453" s="92"/>
    </row>
    <row r="454" spans="1:7" ht="13.15" customHeight="1" x14ac:dyDescent="0.2">
      <c r="A454" s="109" t="s">
        <v>383</v>
      </c>
      <c r="B454" s="87" t="s">
        <v>152</v>
      </c>
      <c r="C454" s="87" t="s">
        <v>153</v>
      </c>
      <c r="D454" s="110">
        <v>1056</v>
      </c>
      <c r="E454" s="110">
        <v>1452</v>
      </c>
      <c r="F454" s="110">
        <f t="shared" si="48"/>
        <v>2508</v>
      </c>
      <c r="G454" s="92" t="s">
        <v>388</v>
      </c>
    </row>
    <row r="455" spans="1:7" ht="13.15" customHeight="1" x14ac:dyDescent="0.2">
      <c r="A455" s="109" t="s">
        <v>383</v>
      </c>
      <c r="B455" s="87" t="s">
        <v>154</v>
      </c>
      <c r="C455" s="87" t="s">
        <v>155</v>
      </c>
      <c r="D455" s="110">
        <v>1200</v>
      </c>
      <c r="E455" s="110">
        <v>500</v>
      </c>
      <c r="F455" s="110">
        <f t="shared" si="48"/>
        <v>1700</v>
      </c>
      <c r="G455" s="92" t="s">
        <v>388</v>
      </c>
    </row>
    <row r="456" spans="1:7" ht="13.15" customHeight="1" x14ac:dyDescent="0.2">
      <c r="A456" s="109" t="s">
        <v>383</v>
      </c>
      <c r="B456" s="87" t="s">
        <v>156</v>
      </c>
      <c r="C456" s="87" t="s">
        <v>157</v>
      </c>
      <c r="D456" s="110">
        <v>2832</v>
      </c>
      <c r="E456" s="110">
        <f>700+700+1800</f>
        <v>3200</v>
      </c>
      <c r="F456" s="110">
        <f t="shared" si="48"/>
        <v>6032</v>
      </c>
      <c r="G456" s="92" t="s">
        <v>389</v>
      </c>
    </row>
    <row r="457" spans="1:7" ht="13.15" customHeight="1" x14ac:dyDescent="0.2">
      <c r="A457" s="109" t="s">
        <v>383</v>
      </c>
      <c r="B457" s="87" t="s">
        <v>368</v>
      </c>
      <c r="C457" s="87" t="s">
        <v>369</v>
      </c>
      <c r="D457" s="110">
        <v>0</v>
      </c>
      <c r="E457" s="110"/>
      <c r="F457" s="110">
        <f t="shared" si="48"/>
        <v>0</v>
      </c>
      <c r="G457" s="92"/>
    </row>
    <row r="458" spans="1:7" ht="13.15" customHeight="1" x14ac:dyDescent="0.2">
      <c r="A458" s="109" t="s">
        <v>383</v>
      </c>
      <c r="B458" s="87" t="s">
        <v>158</v>
      </c>
      <c r="C458" s="87" t="s">
        <v>159</v>
      </c>
      <c r="D458" s="110">
        <v>120</v>
      </c>
      <c r="E458" s="110"/>
      <c r="F458" s="110">
        <f t="shared" si="48"/>
        <v>120</v>
      </c>
      <c r="G458" s="92"/>
    </row>
    <row r="459" spans="1:7" ht="13.15" customHeight="1" x14ac:dyDescent="0.2">
      <c r="A459" s="109" t="s">
        <v>383</v>
      </c>
      <c r="B459" s="87" t="s">
        <v>381</v>
      </c>
      <c r="C459" s="87" t="s">
        <v>382</v>
      </c>
      <c r="D459" s="110">
        <v>0</v>
      </c>
      <c r="E459" s="110"/>
      <c r="F459" s="110">
        <f t="shared" si="48"/>
        <v>0</v>
      </c>
      <c r="G459" s="92"/>
    </row>
    <row r="460" spans="1:7" ht="13.15" customHeight="1" x14ac:dyDescent="0.2">
      <c r="A460" s="109" t="s">
        <v>383</v>
      </c>
      <c r="B460" s="87" t="s">
        <v>195</v>
      </c>
      <c r="C460" s="87" t="s">
        <v>196</v>
      </c>
      <c r="D460" s="110">
        <v>17642</v>
      </c>
      <c r="E460" s="110">
        <f>1800+2871</f>
        <v>4671</v>
      </c>
      <c r="F460" s="110">
        <f t="shared" si="48"/>
        <v>22313</v>
      </c>
      <c r="G460" s="118" t="s">
        <v>388</v>
      </c>
    </row>
    <row r="461" spans="1:7" ht="13.15" customHeight="1" x14ac:dyDescent="0.2">
      <c r="A461" s="109" t="s">
        <v>383</v>
      </c>
      <c r="B461" s="87" t="s">
        <v>199</v>
      </c>
      <c r="C461" s="87" t="s">
        <v>200</v>
      </c>
      <c r="D461" s="110">
        <v>0</v>
      </c>
      <c r="E461" s="110">
        <f>800+700</f>
        <v>1500</v>
      </c>
      <c r="F461" s="110">
        <f t="shared" si="48"/>
        <v>1500</v>
      </c>
      <c r="G461" s="92" t="s">
        <v>388</v>
      </c>
    </row>
    <row r="462" spans="1:7" ht="13.15" customHeight="1" x14ac:dyDescent="0.2">
      <c r="A462" s="100" t="s">
        <v>390</v>
      </c>
      <c r="B462" s="101"/>
      <c r="C462" s="101" t="s">
        <v>391</v>
      </c>
      <c r="D462" s="102">
        <f>+D463</f>
        <v>31718</v>
      </c>
      <c r="E462" s="102">
        <f>+E463</f>
        <v>100</v>
      </c>
      <c r="F462" s="102">
        <f>+F463</f>
        <v>31818</v>
      </c>
      <c r="G462" s="92"/>
    </row>
    <row r="463" spans="1:7" ht="13.15" customHeight="1" x14ac:dyDescent="0.2">
      <c r="A463" s="103" t="s">
        <v>390</v>
      </c>
      <c r="B463" s="104" t="s">
        <v>133</v>
      </c>
      <c r="C463" s="104" t="s">
        <v>134</v>
      </c>
      <c r="D463" s="105">
        <f>+D464+D468</f>
        <v>31718</v>
      </c>
      <c r="E463" s="105">
        <f>+E464+E468</f>
        <v>100</v>
      </c>
      <c r="F463" s="105">
        <f>+F464+F468</f>
        <v>31818</v>
      </c>
      <c r="G463" s="92"/>
    </row>
    <row r="464" spans="1:7" ht="13.15" customHeight="1" x14ac:dyDescent="0.2">
      <c r="A464" s="106" t="s">
        <v>390</v>
      </c>
      <c r="B464" s="107" t="s">
        <v>135</v>
      </c>
      <c r="C464" s="107" t="s">
        <v>31</v>
      </c>
      <c r="D464" s="108">
        <f>SUM(D465:D467)</f>
        <v>20688</v>
      </c>
      <c r="E464" s="108">
        <f>SUM(E465:E467)</f>
        <v>100</v>
      </c>
      <c r="F464" s="108">
        <f>SUM(F465:F467)</f>
        <v>20788</v>
      </c>
      <c r="G464" s="92"/>
    </row>
    <row r="465" spans="1:7" ht="13.15" customHeight="1" x14ac:dyDescent="0.2">
      <c r="A465" s="109" t="s">
        <v>390</v>
      </c>
      <c r="B465" s="87" t="s">
        <v>138</v>
      </c>
      <c r="C465" s="87" t="s">
        <v>139</v>
      </c>
      <c r="D465" s="110">
        <v>11000</v>
      </c>
      <c r="E465" s="110"/>
      <c r="F465" s="110">
        <f>SUM(D465:E465)</f>
        <v>11000</v>
      </c>
      <c r="G465" s="92"/>
    </row>
    <row r="466" spans="1:7" ht="13.15" customHeight="1" x14ac:dyDescent="0.2">
      <c r="A466" s="109" t="s">
        <v>390</v>
      </c>
      <c r="B466" s="87" t="s">
        <v>174</v>
      </c>
      <c r="C466" s="87" t="s">
        <v>175</v>
      </c>
      <c r="D466" s="110">
        <v>4520</v>
      </c>
      <c r="E466" s="110"/>
      <c r="F466" s="110">
        <f>SUM(D466:E466)</f>
        <v>4520</v>
      </c>
      <c r="G466" s="92"/>
    </row>
    <row r="467" spans="1:7" ht="13.15" customHeight="1" x14ac:dyDescent="0.2">
      <c r="A467" s="109" t="s">
        <v>390</v>
      </c>
      <c r="B467" s="87" t="s">
        <v>142</v>
      </c>
      <c r="C467" s="87" t="s">
        <v>143</v>
      </c>
      <c r="D467" s="110">
        <v>5168</v>
      </c>
      <c r="E467" s="110">
        <v>100</v>
      </c>
      <c r="F467" s="110">
        <f>SUM(D467:E467)</f>
        <v>5268</v>
      </c>
      <c r="G467" s="92" t="s">
        <v>144</v>
      </c>
    </row>
    <row r="468" spans="1:7" ht="13.15" customHeight="1" x14ac:dyDescent="0.2">
      <c r="A468" s="106" t="s">
        <v>390</v>
      </c>
      <c r="B468" s="107" t="s">
        <v>145</v>
      </c>
      <c r="C468" s="107" t="s">
        <v>32</v>
      </c>
      <c r="D468" s="108">
        <f>SUM(D469:D477)</f>
        <v>11030</v>
      </c>
      <c r="E468" s="108">
        <f>SUM(E469:E477)</f>
        <v>0</v>
      </c>
      <c r="F468" s="108">
        <f>SUM(F469:F477)</f>
        <v>11030</v>
      </c>
      <c r="G468" s="92"/>
    </row>
    <row r="469" spans="1:7" ht="13.15" customHeight="1" x14ac:dyDescent="0.2">
      <c r="A469" s="109" t="s">
        <v>390</v>
      </c>
      <c r="B469" s="87" t="s">
        <v>146</v>
      </c>
      <c r="C469" s="87" t="s">
        <v>147</v>
      </c>
      <c r="D469" s="110">
        <v>25</v>
      </c>
      <c r="E469" s="110"/>
      <c r="F469" s="110">
        <f t="shared" ref="F469:F477" si="49">SUM(D469:E469)</f>
        <v>25</v>
      </c>
      <c r="G469" s="92"/>
    </row>
    <row r="470" spans="1:7" ht="13.15" customHeight="1" x14ac:dyDescent="0.2">
      <c r="A470" s="109" t="s">
        <v>390</v>
      </c>
      <c r="B470" s="87" t="s">
        <v>150</v>
      </c>
      <c r="C470" s="87" t="s">
        <v>151</v>
      </c>
      <c r="D470" s="110">
        <v>186</v>
      </c>
      <c r="E470" s="110"/>
      <c r="F470" s="110">
        <f t="shared" si="49"/>
        <v>186</v>
      </c>
      <c r="G470" s="92"/>
    </row>
    <row r="471" spans="1:7" ht="13.15" customHeight="1" x14ac:dyDescent="0.2">
      <c r="A471" s="109" t="s">
        <v>390</v>
      </c>
      <c r="B471" s="87" t="s">
        <v>152</v>
      </c>
      <c r="C471" s="87" t="s">
        <v>153</v>
      </c>
      <c r="D471" s="110">
        <v>974</v>
      </c>
      <c r="E471" s="110"/>
      <c r="F471" s="110">
        <f t="shared" si="49"/>
        <v>974</v>
      </c>
      <c r="G471" s="92"/>
    </row>
    <row r="472" spans="1:7" ht="13.15" customHeight="1" x14ac:dyDescent="0.2">
      <c r="A472" s="109" t="s">
        <v>390</v>
      </c>
      <c r="B472" s="87" t="s">
        <v>156</v>
      </c>
      <c r="C472" s="87" t="s">
        <v>157</v>
      </c>
      <c r="D472" s="110">
        <v>0</v>
      </c>
      <c r="E472" s="110"/>
      <c r="F472" s="110">
        <f t="shared" si="49"/>
        <v>0</v>
      </c>
      <c r="G472" s="92"/>
    </row>
    <row r="473" spans="1:7" ht="13.15" customHeight="1" x14ac:dyDescent="0.2">
      <c r="A473" s="109" t="s">
        <v>390</v>
      </c>
      <c r="B473" s="87" t="s">
        <v>368</v>
      </c>
      <c r="C473" s="87" t="s">
        <v>369</v>
      </c>
      <c r="D473" s="110">
        <v>2285</v>
      </c>
      <c r="E473" s="110"/>
      <c r="F473" s="110">
        <f t="shared" si="49"/>
        <v>2285</v>
      </c>
      <c r="G473" s="92"/>
    </row>
    <row r="474" spans="1:7" ht="13.15" customHeight="1" x14ac:dyDescent="0.2">
      <c r="A474" s="109" t="s">
        <v>390</v>
      </c>
      <c r="B474" s="87" t="s">
        <v>158</v>
      </c>
      <c r="C474" s="87" t="s">
        <v>159</v>
      </c>
      <c r="D474" s="110">
        <v>20</v>
      </c>
      <c r="E474" s="110"/>
      <c r="F474" s="110">
        <f t="shared" si="49"/>
        <v>20</v>
      </c>
      <c r="G474" s="92"/>
    </row>
    <row r="475" spans="1:7" ht="13.15" customHeight="1" x14ac:dyDescent="0.2">
      <c r="A475" s="109" t="s">
        <v>390</v>
      </c>
      <c r="B475" s="87" t="s">
        <v>381</v>
      </c>
      <c r="C475" s="87" t="s">
        <v>382</v>
      </c>
      <c r="D475" s="110">
        <v>540</v>
      </c>
      <c r="E475" s="110"/>
      <c r="F475" s="110">
        <f t="shared" si="49"/>
        <v>540</v>
      </c>
      <c r="G475" s="92"/>
    </row>
    <row r="476" spans="1:7" ht="13.15" customHeight="1" x14ac:dyDescent="0.2">
      <c r="A476" s="109" t="s">
        <v>390</v>
      </c>
      <c r="B476" s="87" t="s">
        <v>195</v>
      </c>
      <c r="C476" s="87" t="s">
        <v>196</v>
      </c>
      <c r="D476" s="110">
        <v>7000</v>
      </c>
      <c r="E476" s="110"/>
      <c r="F476" s="110">
        <f t="shared" si="49"/>
        <v>7000</v>
      </c>
      <c r="G476" s="92"/>
    </row>
    <row r="477" spans="1:7" ht="13.15" customHeight="1" x14ac:dyDescent="0.2">
      <c r="A477" s="109" t="s">
        <v>390</v>
      </c>
      <c r="B477" s="87" t="s">
        <v>199</v>
      </c>
      <c r="C477" s="87" t="s">
        <v>200</v>
      </c>
      <c r="D477" s="110">
        <v>0</v>
      </c>
      <c r="E477" s="110"/>
      <c r="F477" s="110">
        <f t="shared" si="49"/>
        <v>0</v>
      </c>
      <c r="G477" s="92"/>
    </row>
    <row r="478" spans="1:7" ht="13.15" customHeight="1" x14ac:dyDescent="0.2">
      <c r="A478" s="100" t="s">
        <v>89</v>
      </c>
      <c r="B478" s="101"/>
      <c r="C478" s="101" t="s">
        <v>90</v>
      </c>
      <c r="D478" s="102">
        <f t="shared" ref="D478:F480" si="50">+D479</f>
        <v>209500</v>
      </c>
      <c r="E478" s="102">
        <f t="shared" si="50"/>
        <v>0</v>
      </c>
      <c r="F478" s="102">
        <f t="shared" si="50"/>
        <v>28426.5</v>
      </c>
      <c r="G478" s="92"/>
    </row>
    <row r="479" spans="1:7" ht="13.15" customHeight="1" x14ac:dyDescent="0.2">
      <c r="A479" s="103" t="s">
        <v>89</v>
      </c>
      <c r="B479" s="104" t="s">
        <v>166</v>
      </c>
      <c r="C479" s="104" t="s">
        <v>167</v>
      </c>
      <c r="D479" s="105">
        <f t="shared" si="50"/>
        <v>209500</v>
      </c>
      <c r="E479" s="105">
        <f t="shared" si="50"/>
        <v>0</v>
      </c>
      <c r="F479" s="105">
        <f t="shared" si="50"/>
        <v>28426.5</v>
      </c>
      <c r="G479" s="92"/>
    </row>
    <row r="480" spans="1:7" ht="13.15" customHeight="1" x14ac:dyDescent="0.2">
      <c r="A480" s="106" t="s">
        <v>89</v>
      </c>
      <c r="B480" s="107" t="s">
        <v>219</v>
      </c>
      <c r="C480" s="107" t="s">
        <v>220</v>
      </c>
      <c r="D480" s="108">
        <f t="shared" si="50"/>
        <v>209500</v>
      </c>
      <c r="E480" s="108">
        <f t="shared" si="50"/>
        <v>0</v>
      </c>
      <c r="F480" s="108">
        <f t="shared" si="50"/>
        <v>28426.5</v>
      </c>
      <c r="G480" s="92"/>
    </row>
    <row r="481" spans="1:7" ht="13.15" customHeight="1" x14ac:dyDescent="0.2">
      <c r="A481" s="109" t="s">
        <v>89</v>
      </c>
      <c r="B481" s="87" t="s">
        <v>221</v>
      </c>
      <c r="C481" s="87" t="s">
        <v>222</v>
      </c>
      <c r="D481" s="110">
        <f>23000+186500</f>
        <v>209500</v>
      </c>
      <c r="E481" s="110"/>
      <c r="F481" s="110">
        <f>+D481-29530-32550-26760-31950-24000-36283.5</f>
        <v>28426.5</v>
      </c>
      <c r="G481" s="92"/>
    </row>
    <row r="482" spans="1:7" ht="13.15" customHeight="1" x14ac:dyDescent="0.2">
      <c r="A482" s="100" t="s">
        <v>91</v>
      </c>
      <c r="B482" s="101"/>
      <c r="C482" s="101" t="s">
        <v>392</v>
      </c>
      <c r="D482" s="102">
        <f>+D483+D486</f>
        <v>744000</v>
      </c>
      <c r="E482" s="102">
        <f t="shared" ref="E482:F482" si="51">+E483+E486</f>
        <v>37148.14</v>
      </c>
      <c r="F482" s="102">
        <f t="shared" si="51"/>
        <v>781148.14</v>
      </c>
      <c r="G482" s="92"/>
    </row>
    <row r="483" spans="1:7" ht="13.15" customHeight="1" x14ac:dyDescent="0.2">
      <c r="A483" s="103" t="s">
        <v>91</v>
      </c>
      <c r="B483" s="104" t="s">
        <v>127</v>
      </c>
      <c r="C483" s="104" t="s">
        <v>128</v>
      </c>
      <c r="D483" s="105">
        <f t="shared" ref="D483:F484" si="52">+D484</f>
        <v>0</v>
      </c>
      <c r="E483" s="105">
        <f t="shared" si="52"/>
        <v>20000</v>
      </c>
      <c r="F483" s="105">
        <f t="shared" si="52"/>
        <v>20000</v>
      </c>
      <c r="G483" s="92"/>
    </row>
    <row r="484" spans="1:7" ht="13.15" customHeight="1" x14ac:dyDescent="0.2">
      <c r="A484" s="106" t="s">
        <v>91</v>
      </c>
      <c r="B484" s="107" t="s">
        <v>129</v>
      </c>
      <c r="C484" s="107" t="s">
        <v>130</v>
      </c>
      <c r="D484" s="108">
        <f t="shared" si="52"/>
        <v>0</v>
      </c>
      <c r="E484" s="108">
        <f t="shared" si="52"/>
        <v>20000</v>
      </c>
      <c r="F484" s="108">
        <f t="shared" si="52"/>
        <v>20000</v>
      </c>
      <c r="G484" s="92"/>
    </row>
    <row r="485" spans="1:7" ht="13.15" customHeight="1" x14ac:dyDescent="0.2">
      <c r="A485" s="109" t="s">
        <v>91</v>
      </c>
      <c r="B485" s="87" t="s">
        <v>163</v>
      </c>
      <c r="C485" s="87" t="s">
        <v>164</v>
      </c>
      <c r="D485" s="110">
        <v>0</v>
      </c>
      <c r="E485" s="110">
        <v>20000</v>
      </c>
      <c r="F485" s="110">
        <f>SUM(D485:E485)</f>
        <v>20000</v>
      </c>
      <c r="G485" s="92" t="s">
        <v>393</v>
      </c>
    </row>
    <row r="486" spans="1:7" ht="13.15" customHeight="1" x14ac:dyDescent="0.2">
      <c r="A486" s="103" t="s">
        <v>91</v>
      </c>
      <c r="B486" s="104" t="s">
        <v>133</v>
      </c>
      <c r="C486" s="104" t="s">
        <v>134</v>
      </c>
      <c r="D486" s="105">
        <f>+D487+D491</f>
        <v>744000</v>
      </c>
      <c r="E486" s="105">
        <f>+E487+E491</f>
        <v>17148.14</v>
      </c>
      <c r="F486" s="105">
        <f>+F487+F491</f>
        <v>761148.14</v>
      </c>
      <c r="G486" s="92"/>
    </row>
    <row r="487" spans="1:7" ht="13.15" customHeight="1" x14ac:dyDescent="0.2">
      <c r="A487" s="106" t="s">
        <v>91</v>
      </c>
      <c r="B487" s="107" t="s">
        <v>135</v>
      </c>
      <c r="C487" s="107" t="s">
        <v>31</v>
      </c>
      <c r="D487" s="108">
        <f>SUM(D488:D490)</f>
        <v>460936</v>
      </c>
      <c r="E487" s="108">
        <f>SUM(E488:E490)</f>
        <v>2000</v>
      </c>
      <c r="F487" s="108">
        <f>SUM(F488:F490)</f>
        <v>462936</v>
      </c>
      <c r="G487" s="92"/>
    </row>
    <row r="488" spans="1:7" ht="13.15" customHeight="1" x14ac:dyDescent="0.2">
      <c r="A488" s="109" t="s">
        <v>91</v>
      </c>
      <c r="B488" s="87" t="s">
        <v>138</v>
      </c>
      <c r="C488" s="87" t="s">
        <v>139</v>
      </c>
      <c r="D488" s="110">
        <f>345788-1410</f>
        <v>344378</v>
      </c>
      <c r="E488" s="110"/>
      <c r="F488" s="110">
        <f>SUM(D488:E488)</f>
        <v>344378</v>
      </c>
      <c r="G488" s="92"/>
    </row>
    <row r="489" spans="1:7" ht="13.15" customHeight="1" x14ac:dyDescent="0.2">
      <c r="A489" s="109" t="s">
        <v>91</v>
      </c>
      <c r="B489" s="87" t="s">
        <v>174</v>
      </c>
      <c r="C489" s="87" t="s">
        <v>175</v>
      </c>
      <c r="D489" s="110">
        <v>1410</v>
      </c>
      <c r="E489" s="110"/>
      <c r="F489" s="110">
        <f>SUM(D489:E489)</f>
        <v>1410</v>
      </c>
      <c r="G489" s="92"/>
    </row>
    <row r="490" spans="1:7" ht="13.15" customHeight="1" x14ac:dyDescent="0.2">
      <c r="A490" s="109" t="s">
        <v>91</v>
      </c>
      <c r="B490" s="87" t="s">
        <v>142</v>
      </c>
      <c r="C490" s="87" t="s">
        <v>143</v>
      </c>
      <c r="D490" s="110">
        <v>115148</v>
      </c>
      <c r="E490" s="110">
        <v>2000</v>
      </c>
      <c r="F490" s="110">
        <f>SUM(D490:E490)</f>
        <v>117148</v>
      </c>
      <c r="G490" s="92" t="s">
        <v>144</v>
      </c>
    </row>
    <row r="491" spans="1:7" ht="13.15" customHeight="1" x14ac:dyDescent="0.2">
      <c r="A491" s="106" t="s">
        <v>91</v>
      </c>
      <c r="B491" s="107" t="s">
        <v>145</v>
      </c>
      <c r="C491" s="107" t="s">
        <v>32</v>
      </c>
      <c r="D491" s="108">
        <f>SUM(D492:D518)-D496-D510-D515</f>
        <v>283064</v>
      </c>
      <c r="E491" s="108">
        <f>+E492+E493+E494+E495+E496+E506+E507+E508+E509+E510+E515+E517+E518</f>
        <v>15148.14</v>
      </c>
      <c r="F491" s="108">
        <f>SUM(F492:F518)-F496-F510-F515</f>
        <v>298212.14</v>
      </c>
      <c r="G491" s="92"/>
    </row>
    <row r="492" spans="1:7" ht="13.15" customHeight="1" x14ac:dyDescent="0.2">
      <c r="A492" s="109" t="s">
        <v>91</v>
      </c>
      <c r="B492" s="87" t="s">
        <v>146</v>
      </c>
      <c r="C492" s="87" t="s">
        <v>147</v>
      </c>
      <c r="D492" s="110">
        <v>7900</v>
      </c>
      <c r="E492" s="110"/>
      <c r="F492" s="110">
        <f>SUM(D492:E492)</f>
        <v>7900</v>
      </c>
      <c r="G492" s="92"/>
    </row>
    <row r="493" spans="1:7" ht="13.15" customHeight="1" x14ac:dyDescent="0.2">
      <c r="A493" s="109" t="s">
        <v>91</v>
      </c>
      <c r="B493" s="87" t="s">
        <v>148</v>
      </c>
      <c r="C493" s="87" t="s">
        <v>149</v>
      </c>
      <c r="D493" s="110">
        <v>700</v>
      </c>
      <c r="E493" s="110"/>
      <c r="F493" s="110">
        <f>SUM(D493:E493)</f>
        <v>700</v>
      </c>
      <c r="G493" s="92"/>
    </row>
    <row r="494" spans="1:7" ht="13.15" customHeight="1" x14ac:dyDescent="0.2">
      <c r="A494" s="136" t="s">
        <v>91</v>
      </c>
      <c r="B494" s="137" t="s">
        <v>150</v>
      </c>
      <c r="C494" s="137" t="s">
        <v>151</v>
      </c>
      <c r="D494" s="138">
        <v>1300</v>
      </c>
      <c r="E494" s="139">
        <v>100</v>
      </c>
      <c r="F494" s="138">
        <f>+D494+E494</f>
        <v>1400</v>
      </c>
      <c r="G494" s="140" t="s">
        <v>394</v>
      </c>
    </row>
    <row r="495" spans="1:7" ht="13.15" customHeight="1" x14ac:dyDescent="0.2">
      <c r="A495" s="141" t="s">
        <v>91</v>
      </c>
      <c r="B495" s="142">
        <v>5504001</v>
      </c>
      <c r="C495" s="143" t="s">
        <v>395</v>
      </c>
      <c r="D495" s="144">
        <v>0</v>
      </c>
      <c r="E495" s="145">
        <v>1402</v>
      </c>
      <c r="F495" s="144">
        <f>SUM(D495:E495)</f>
        <v>1402</v>
      </c>
      <c r="G495" s="140" t="s">
        <v>396</v>
      </c>
    </row>
    <row r="496" spans="1:7" ht="13.15" customHeight="1" x14ac:dyDescent="0.2">
      <c r="A496" s="111" t="s">
        <v>91</v>
      </c>
      <c r="B496" s="112" t="s">
        <v>176</v>
      </c>
      <c r="C496" s="112" t="s">
        <v>177</v>
      </c>
      <c r="D496" s="113">
        <f>SUM(D497:D505)</f>
        <v>37110</v>
      </c>
      <c r="E496" s="113">
        <f>SUM(E497:E505)</f>
        <v>0</v>
      </c>
      <c r="F496" s="113">
        <f>SUM(F497:F505)</f>
        <v>37110</v>
      </c>
      <c r="G496" s="92"/>
    </row>
    <row r="497" spans="1:7" ht="13.15" customHeight="1" x14ac:dyDescent="0.2">
      <c r="A497" s="114" t="s">
        <v>91</v>
      </c>
      <c r="B497" s="115" t="s">
        <v>178</v>
      </c>
      <c r="C497" s="115" t="s">
        <v>179</v>
      </c>
      <c r="D497" s="116">
        <v>11200</v>
      </c>
      <c r="E497" s="116"/>
      <c r="F497" s="116">
        <f t="shared" ref="F497:F509" si="53">SUM(D497:E497)</f>
        <v>11200</v>
      </c>
      <c r="G497" s="92"/>
    </row>
    <row r="498" spans="1:7" ht="13.15" customHeight="1" x14ac:dyDescent="0.2">
      <c r="A498" s="114" t="s">
        <v>91</v>
      </c>
      <c r="B498" s="115" t="s">
        <v>180</v>
      </c>
      <c r="C498" s="115" t="s">
        <v>75</v>
      </c>
      <c r="D498" s="116">
        <v>9250</v>
      </c>
      <c r="E498" s="116"/>
      <c r="F498" s="116">
        <f t="shared" si="53"/>
        <v>9250</v>
      </c>
      <c r="G498" s="92"/>
    </row>
    <row r="499" spans="1:7" ht="13.15" customHeight="1" x14ac:dyDescent="0.2">
      <c r="A499" s="114" t="s">
        <v>91</v>
      </c>
      <c r="B499" s="115" t="s">
        <v>181</v>
      </c>
      <c r="C499" s="115" t="s">
        <v>182</v>
      </c>
      <c r="D499" s="116">
        <v>600</v>
      </c>
      <c r="E499" s="116"/>
      <c r="F499" s="116">
        <f t="shared" si="53"/>
        <v>600</v>
      </c>
      <c r="G499" s="92"/>
    </row>
    <row r="500" spans="1:7" ht="13.15" customHeight="1" x14ac:dyDescent="0.2">
      <c r="A500" s="114" t="s">
        <v>91</v>
      </c>
      <c r="B500" s="115" t="s">
        <v>183</v>
      </c>
      <c r="C500" s="115" t="s">
        <v>184</v>
      </c>
      <c r="D500" s="116">
        <v>2600</v>
      </c>
      <c r="E500" s="116"/>
      <c r="F500" s="116">
        <f t="shared" si="53"/>
        <v>2600</v>
      </c>
      <c r="G500" s="92"/>
    </row>
    <row r="501" spans="1:7" ht="13.15" customHeight="1" x14ac:dyDescent="0.2">
      <c r="A501" s="114" t="s">
        <v>91</v>
      </c>
      <c r="B501" s="115" t="s">
        <v>185</v>
      </c>
      <c r="C501" s="115" t="s">
        <v>186</v>
      </c>
      <c r="D501" s="116">
        <v>7260</v>
      </c>
      <c r="E501" s="116"/>
      <c r="F501" s="116">
        <f t="shared" si="53"/>
        <v>7260</v>
      </c>
      <c r="G501" s="92"/>
    </row>
    <row r="502" spans="1:7" ht="13.15" customHeight="1" x14ac:dyDescent="0.2">
      <c r="A502" s="114" t="s">
        <v>91</v>
      </c>
      <c r="B502" s="115" t="s">
        <v>187</v>
      </c>
      <c r="C502" s="115" t="s">
        <v>188</v>
      </c>
      <c r="D502" s="116">
        <v>1300</v>
      </c>
      <c r="E502" s="116"/>
      <c r="F502" s="116">
        <f t="shared" si="53"/>
        <v>1300</v>
      </c>
      <c r="G502" s="92"/>
    </row>
    <row r="503" spans="1:7" ht="13.15" customHeight="1" x14ac:dyDescent="0.2">
      <c r="A503" s="114" t="s">
        <v>91</v>
      </c>
      <c r="B503" s="115" t="s">
        <v>189</v>
      </c>
      <c r="C503" s="115" t="s">
        <v>190</v>
      </c>
      <c r="D503" s="116">
        <v>4000</v>
      </c>
      <c r="E503" s="116"/>
      <c r="F503" s="116">
        <f t="shared" si="53"/>
        <v>4000</v>
      </c>
      <c r="G503" s="92"/>
    </row>
    <row r="504" spans="1:7" ht="13.15" customHeight="1" x14ac:dyDescent="0.2">
      <c r="A504" s="114" t="s">
        <v>91</v>
      </c>
      <c r="B504" s="115" t="s">
        <v>191</v>
      </c>
      <c r="C504" s="115" t="s">
        <v>192</v>
      </c>
      <c r="D504" s="116">
        <v>400</v>
      </c>
      <c r="E504" s="116"/>
      <c r="F504" s="116">
        <f t="shared" si="53"/>
        <v>400</v>
      </c>
      <c r="G504" s="92"/>
    </row>
    <row r="505" spans="1:7" ht="13.15" customHeight="1" x14ac:dyDescent="0.2">
      <c r="A505" s="114" t="s">
        <v>91</v>
      </c>
      <c r="B505" s="115" t="s">
        <v>316</v>
      </c>
      <c r="C505" s="115" t="s">
        <v>317</v>
      </c>
      <c r="D505" s="116">
        <v>500</v>
      </c>
      <c r="E505" s="116"/>
      <c r="F505" s="116">
        <f t="shared" si="53"/>
        <v>500</v>
      </c>
      <c r="G505" s="92"/>
    </row>
    <row r="506" spans="1:7" ht="13.15" customHeight="1" x14ac:dyDescent="0.2">
      <c r="A506" s="109" t="s">
        <v>91</v>
      </c>
      <c r="B506" s="87" t="s">
        <v>152</v>
      </c>
      <c r="C506" s="87" t="s">
        <v>153</v>
      </c>
      <c r="D506" s="110">
        <v>1900</v>
      </c>
      <c r="E506" s="110"/>
      <c r="F506" s="110">
        <f t="shared" si="53"/>
        <v>1900</v>
      </c>
      <c r="G506" s="92"/>
    </row>
    <row r="507" spans="1:7" ht="13.15" customHeight="1" x14ac:dyDescent="0.2">
      <c r="A507" s="109" t="s">
        <v>91</v>
      </c>
      <c r="B507" s="87" t="s">
        <v>154</v>
      </c>
      <c r="C507" s="87" t="s">
        <v>155</v>
      </c>
      <c r="D507" s="110">
        <v>4650</v>
      </c>
      <c r="E507" s="110">
        <v>521.14</v>
      </c>
      <c r="F507" s="110">
        <f t="shared" si="53"/>
        <v>5171.1400000000003</v>
      </c>
      <c r="G507" s="118" t="s">
        <v>397</v>
      </c>
    </row>
    <row r="508" spans="1:7" ht="13.15" customHeight="1" x14ac:dyDescent="0.2">
      <c r="A508" s="109" t="s">
        <v>91</v>
      </c>
      <c r="B508" s="87" t="s">
        <v>156</v>
      </c>
      <c r="C508" s="87" t="s">
        <v>157</v>
      </c>
      <c r="D508" s="110">
        <v>4200</v>
      </c>
      <c r="E508" s="110"/>
      <c r="F508" s="110">
        <f t="shared" si="53"/>
        <v>4200</v>
      </c>
      <c r="G508" s="92"/>
    </row>
    <row r="509" spans="1:7" ht="13.15" customHeight="1" x14ac:dyDescent="0.2">
      <c r="A509" s="109" t="s">
        <v>91</v>
      </c>
      <c r="B509" s="87" t="s">
        <v>158</v>
      </c>
      <c r="C509" s="87" t="s">
        <v>159</v>
      </c>
      <c r="D509" s="110">
        <v>800</v>
      </c>
      <c r="E509" s="110">
        <v>620</v>
      </c>
      <c r="F509" s="110">
        <f t="shared" si="53"/>
        <v>1420</v>
      </c>
      <c r="G509" s="118" t="s">
        <v>398</v>
      </c>
    </row>
    <row r="510" spans="1:7" ht="13.15" customHeight="1" x14ac:dyDescent="0.2">
      <c r="A510" s="111" t="s">
        <v>91</v>
      </c>
      <c r="B510" s="112" t="s">
        <v>399</v>
      </c>
      <c r="C510" s="112" t="s">
        <v>400</v>
      </c>
      <c r="D510" s="113">
        <f>SUM(D511:D514)</f>
        <v>221974</v>
      </c>
      <c r="E510" s="113">
        <f>SUM(E511:E514)</f>
        <v>11820</v>
      </c>
      <c r="F510" s="113">
        <f>SUM(F511:F514)</f>
        <v>233794</v>
      </c>
      <c r="G510" s="92"/>
    </row>
    <row r="511" spans="1:7" ht="13.15" customHeight="1" x14ac:dyDescent="0.2">
      <c r="A511" s="114" t="s">
        <v>91</v>
      </c>
      <c r="B511" s="115" t="s">
        <v>401</v>
      </c>
      <c r="C511" s="115" t="s">
        <v>402</v>
      </c>
      <c r="D511" s="116">
        <v>25434</v>
      </c>
      <c r="E511" s="116"/>
      <c r="F511" s="116">
        <f>SUM(D511:E511)</f>
        <v>25434</v>
      </c>
      <c r="G511" s="92"/>
    </row>
    <row r="512" spans="1:7" ht="13.15" customHeight="1" x14ac:dyDescent="0.2">
      <c r="A512" s="114" t="s">
        <v>91</v>
      </c>
      <c r="B512" s="115" t="s">
        <v>403</v>
      </c>
      <c r="C512" s="115" t="s">
        <v>404</v>
      </c>
      <c r="D512" s="116">
        <v>108389</v>
      </c>
      <c r="E512" s="116">
        <f>110234-108389</f>
        <v>1845</v>
      </c>
      <c r="F512" s="116">
        <f>SUM(D512:E512)</f>
        <v>110234</v>
      </c>
      <c r="G512" s="118" t="s">
        <v>405</v>
      </c>
    </row>
    <row r="513" spans="1:7" ht="13.15" customHeight="1" x14ac:dyDescent="0.2">
      <c r="A513" s="114" t="s">
        <v>91</v>
      </c>
      <c r="B513" s="115" t="s">
        <v>406</v>
      </c>
      <c r="C513" s="115" t="s">
        <v>407</v>
      </c>
      <c r="D513" s="116">
        <v>85151</v>
      </c>
      <c r="E513" s="116">
        <f>95126-85151</f>
        <v>9975</v>
      </c>
      <c r="F513" s="116">
        <f>SUM(D513:E513)</f>
        <v>95126</v>
      </c>
      <c r="G513" s="92"/>
    </row>
    <row r="514" spans="1:7" ht="13.15" customHeight="1" x14ac:dyDescent="0.2">
      <c r="A514" s="114" t="s">
        <v>91</v>
      </c>
      <c r="B514" s="115" t="s">
        <v>408</v>
      </c>
      <c r="C514" s="115" t="s">
        <v>409</v>
      </c>
      <c r="D514" s="116">
        <v>3000</v>
      </c>
      <c r="E514" s="116"/>
      <c r="F514" s="116">
        <f>SUM(D514:E514)</f>
        <v>3000</v>
      </c>
      <c r="G514" s="92"/>
    </row>
    <row r="515" spans="1:7" ht="13.15" customHeight="1" x14ac:dyDescent="0.2">
      <c r="A515" s="111" t="s">
        <v>91</v>
      </c>
      <c r="B515" s="112" t="s">
        <v>381</v>
      </c>
      <c r="C515" s="112" t="s">
        <v>382</v>
      </c>
      <c r="D515" s="113">
        <v>0</v>
      </c>
      <c r="E515" s="113">
        <v>0</v>
      </c>
      <c r="F515" s="113">
        <v>0</v>
      </c>
      <c r="G515" s="92"/>
    </row>
    <row r="516" spans="1:7" ht="13.15" customHeight="1" x14ac:dyDescent="0.2">
      <c r="A516" s="114" t="s">
        <v>91</v>
      </c>
      <c r="B516" s="115" t="s">
        <v>410</v>
      </c>
      <c r="C516" s="115" t="s">
        <v>411</v>
      </c>
      <c r="D516" s="116">
        <v>0</v>
      </c>
      <c r="E516" s="116"/>
      <c r="F516" s="116">
        <f>SUM(D516:E516)</f>
        <v>0</v>
      </c>
      <c r="G516" s="92"/>
    </row>
    <row r="517" spans="1:7" ht="13.15" customHeight="1" x14ac:dyDescent="0.2">
      <c r="A517" s="136" t="s">
        <v>91</v>
      </c>
      <c r="B517" s="137" t="s">
        <v>195</v>
      </c>
      <c r="C517" s="137" t="s">
        <v>196</v>
      </c>
      <c r="D517" s="138">
        <v>2530</v>
      </c>
      <c r="E517" s="138">
        <v>0</v>
      </c>
      <c r="F517" s="138">
        <f>SUM(D517:E517)</f>
        <v>2530</v>
      </c>
      <c r="G517" s="92"/>
    </row>
    <row r="518" spans="1:7" ht="13.15" customHeight="1" x14ac:dyDescent="0.2">
      <c r="A518" s="141" t="s">
        <v>91</v>
      </c>
      <c r="B518" s="142">
        <v>5525201</v>
      </c>
      <c r="C518" s="143" t="s">
        <v>395</v>
      </c>
      <c r="D518" s="144">
        <v>0</v>
      </c>
      <c r="E518" s="145">
        <f>200+485</f>
        <v>685</v>
      </c>
      <c r="F518" s="144">
        <f>SUM(D518:E518)</f>
        <v>685</v>
      </c>
      <c r="G518" s="146" t="s">
        <v>412</v>
      </c>
    </row>
    <row r="519" spans="1:7" ht="13.15" customHeight="1" x14ac:dyDescent="0.2">
      <c r="A519" s="100" t="s">
        <v>413</v>
      </c>
      <c r="B519" s="101"/>
      <c r="C519" s="101" t="s">
        <v>414</v>
      </c>
      <c r="D519" s="102">
        <f>+D520+D523</f>
        <v>179743</v>
      </c>
      <c r="E519" s="102">
        <f t="shared" ref="E519:F519" si="54">+E520+E523</f>
        <v>85100</v>
      </c>
      <c r="F519" s="102">
        <f t="shared" si="54"/>
        <v>264843</v>
      </c>
      <c r="G519" s="118"/>
    </row>
    <row r="520" spans="1:7" ht="13.15" customHeight="1" x14ac:dyDescent="0.2">
      <c r="A520" s="126" t="s">
        <v>413</v>
      </c>
      <c r="B520" s="104" t="s">
        <v>127</v>
      </c>
      <c r="C520" s="104" t="s">
        <v>128</v>
      </c>
      <c r="D520" s="105">
        <f t="shared" ref="D520:F521" si="55">+D521</f>
        <v>0</v>
      </c>
      <c r="E520" s="105">
        <f t="shared" si="55"/>
        <v>33000</v>
      </c>
      <c r="F520" s="105">
        <f t="shared" si="55"/>
        <v>33000</v>
      </c>
      <c r="G520" s="118"/>
    </row>
    <row r="521" spans="1:7" ht="13.15" customHeight="1" x14ac:dyDescent="0.2">
      <c r="A521" s="127" t="s">
        <v>413</v>
      </c>
      <c r="B521" s="107" t="s">
        <v>129</v>
      </c>
      <c r="C521" s="107" t="s">
        <v>130</v>
      </c>
      <c r="D521" s="108">
        <f t="shared" si="55"/>
        <v>0</v>
      </c>
      <c r="E521" s="108">
        <f t="shared" si="55"/>
        <v>33000</v>
      </c>
      <c r="F521" s="108">
        <f t="shared" si="55"/>
        <v>33000</v>
      </c>
      <c r="G521" s="118"/>
    </row>
    <row r="522" spans="1:7" ht="13.15" customHeight="1" x14ac:dyDescent="0.2">
      <c r="A522" s="128" t="s">
        <v>413</v>
      </c>
      <c r="B522" s="87" t="s">
        <v>163</v>
      </c>
      <c r="C522" s="87" t="s">
        <v>164</v>
      </c>
      <c r="D522" s="110">
        <v>0</v>
      </c>
      <c r="E522" s="110">
        <v>33000</v>
      </c>
      <c r="F522" s="110">
        <f>SUM(D522:E522)</f>
        <v>33000</v>
      </c>
      <c r="G522" s="118" t="s">
        <v>415</v>
      </c>
    </row>
    <row r="523" spans="1:7" ht="13.15" customHeight="1" x14ac:dyDescent="0.2">
      <c r="A523" s="126" t="s">
        <v>413</v>
      </c>
      <c r="B523" s="104" t="s">
        <v>133</v>
      </c>
      <c r="C523" s="104" t="s">
        <v>134</v>
      </c>
      <c r="D523" s="105">
        <f>+D524+D528</f>
        <v>179743</v>
      </c>
      <c r="E523" s="105">
        <f>+E524+E528</f>
        <v>52100</v>
      </c>
      <c r="F523" s="105">
        <f>+F524+F528</f>
        <v>231843</v>
      </c>
      <c r="G523" s="92"/>
    </row>
    <row r="524" spans="1:7" ht="13.15" customHeight="1" x14ac:dyDescent="0.2">
      <c r="A524" s="127" t="s">
        <v>413</v>
      </c>
      <c r="B524" s="107" t="s">
        <v>135</v>
      </c>
      <c r="C524" s="107" t="s">
        <v>31</v>
      </c>
      <c r="D524" s="108">
        <f>SUM(D525:D527)</f>
        <v>63453</v>
      </c>
      <c r="E524" s="108">
        <f>SUM(E525:E527)</f>
        <v>27000</v>
      </c>
      <c r="F524" s="108">
        <f>SUM(F525:F527)</f>
        <v>90453</v>
      </c>
      <c r="G524" s="92"/>
    </row>
    <row r="525" spans="1:7" ht="13.15" customHeight="1" x14ac:dyDescent="0.2">
      <c r="A525" s="128" t="s">
        <v>413</v>
      </c>
      <c r="B525" s="87" t="s">
        <v>138</v>
      </c>
      <c r="C525" s="87" t="s">
        <v>139</v>
      </c>
      <c r="D525" s="110">
        <v>47602</v>
      </c>
      <c r="E525" s="110">
        <f>12000+6000</f>
        <v>18000</v>
      </c>
      <c r="F525" s="110">
        <f>SUM(D525:E525)</f>
        <v>65602</v>
      </c>
      <c r="G525" s="118" t="s">
        <v>416</v>
      </c>
    </row>
    <row r="526" spans="1:7" ht="13.15" customHeight="1" x14ac:dyDescent="0.2">
      <c r="A526" s="128" t="s">
        <v>413</v>
      </c>
      <c r="B526" s="87" t="s">
        <v>174</v>
      </c>
      <c r="C526" s="87" t="s">
        <v>175</v>
      </c>
      <c r="D526" s="110">
        <v>0</v>
      </c>
      <c r="E526" s="110">
        <v>2000</v>
      </c>
      <c r="F526" s="110">
        <f>SUM(D526:E526)</f>
        <v>2000</v>
      </c>
      <c r="G526" s="92" t="s">
        <v>417</v>
      </c>
    </row>
    <row r="527" spans="1:7" ht="13.15" customHeight="1" x14ac:dyDescent="0.2">
      <c r="A527" s="128" t="s">
        <v>413</v>
      </c>
      <c r="B527" s="87" t="s">
        <v>142</v>
      </c>
      <c r="C527" s="87" t="s">
        <v>143</v>
      </c>
      <c r="D527" s="110">
        <v>15851</v>
      </c>
      <c r="E527" s="110">
        <v>7000</v>
      </c>
      <c r="F527" s="110">
        <f>SUM(D527:E527)</f>
        <v>22851</v>
      </c>
      <c r="G527" s="92" t="s">
        <v>144</v>
      </c>
    </row>
    <row r="528" spans="1:7" ht="13.15" customHeight="1" x14ac:dyDescent="0.2">
      <c r="A528" s="127" t="s">
        <v>413</v>
      </c>
      <c r="B528" s="107" t="s">
        <v>145</v>
      </c>
      <c r="C528" s="107" t="s">
        <v>32</v>
      </c>
      <c r="D528" s="108">
        <f>SUM(D529:D546)-D533</f>
        <v>116290</v>
      </c>
      <c r="E528" s="108">
        <f>SUM(E529:E546)-E533</f>
        <v>25100</v>
      </c>
      <c r="F528" s="108">
        <f>SUM(F529:F546)-F533</f>
        <v>141390</v>
      </c>
      <c r="G528" s="92"/>
    </row>
    <row r="529" spans="1:7" ht="13.15" customHeight="1" x14ac:dyDescent="0.2">
      <c r="A529" s="128" t="s">
        <v>413</v>
      </c>
      <c r="B529" s="87" t="s">
        <v>146</v>
      </c>
      <c r="C529" s="87" t="s">
        <v>147</v>
      </c>
      <c r="D529" s="110">
        <v>2480</v>
      </c>
      <c r="E529" s="110"/>
      <c r="F529" s="110">
        <f>SUM(D529:E529)</f>
        <v>2480</v>
      </c>
      <c r="G529" s="92"/>
    </row>
    <row r="530" spans="1:7" ht="13.15" customHeight="1" x14ac:dyDescent="0.2">
      <c r="A530" s="128" t="s">
        <v>413</v>
      </c>
      <c r="B530" s="87" t="s">
        <v>223</v>
      </c>
      <c r="C530" s="87" t="s">
        <v>224</v>
      </c>
      <c r="D530" s="110">
        <v>24000</v>
      </c>
      <c r="E530" s="110"/>
      <c r="F530" s="110">
        <f>SUM(D530:E530)</f>
        <v>24000</v>
      </c>
      <c r="G530" s="92"/>
    </row>
    <row r="531" spans="1:7" ht="13.15" customHeight="1" x14ac:dyDescent="0.2">
      <c r="A531" s="128" t="s">
        <v>413</v>
      </c>
      <c r="B531" s="87" t="s">
        <v>148</v>
      </c>
      <c r="C531" s="87" t="s">
        <v>149</v>
      </c>
      <c r="D531" s="110">
        <v>350</v>
      </c>
      <c r="E531" s="110"/>
      <c r="F531" s="110">
        <f>SUM(D531:E531)</f>
        <v>350</v>
      </c>
      <c r="G531" s="92"/>
    </row>
    <row r="532" spans="1:7" ht="13.15" customHeight="1" x14ac:dyDescent="0.2">
      <c r="A532" s="128" t="s">
        <v>413</v>
      </c>
      <c r="B532" s="87" t="s">
        <v>150</v>
      </c>
      <c r="C532" s="87" t="s">
        <v>151</v>
      </c>
      <c r="D532" s="110">
        <v>250</v>
      </c>
      <c r="E532" s="110"/>
      <c r="F532" s="110">
        <f>SUM(D532:E532)</f>
        <v>250</v>
      </c>
      <c r="G532" s="92"/>
    </row>
    <row r="533" spans="1:7" ht="13.15" customHeight="1" x14ac:dyDescent="0.2">
      <c r="A533" s="147" t="s">
        <v>413</v>
      </c>
      <c r="B533" s="112" t="s">
        <v>176</v>
      </c>
      <c r="C533" s="112" t="s">
        <v>177</v>
      </c>
      <c r="D533" s="148">
        <f>SUBTOTAL(9,D534:D542)</f>
        <v>34860</v>
      </c>
      <c r="E533" s="148">
        <f>SUM(E534:E542)</f>
        <v>0</v>
      </c>
      <c r="F533" s="148">
        <f>SUM(F534:F542)</f>
        <v>34860</v>
      </c>
      <c r="G533" s="92"/>
    </row>
    <row r="534" spans="1:7" ht="13.15" customHeight="1" x14ac:dyDescent="0.2">
      <c r="A534" s="149" t="s">
        <v>413</v>
      </c>
      <c r="B534" s="115" t="s">
        <v>178</v>
      </c>
      <c r="C534" s="115" t="s">
        <v>179</v>
      </c>
      <c r="D534" s="116">
        <v>3000</v>
      </c>
      <c r="E534" s="116"/>
      <c r="F534" s="116">
        <f t="shared" ref="F534:F546" si="56">SUM(D534:E534)</f>
        <v>3000</v>
      </c>
      <c r="G534" s="92"/>
    </row>
    <row r="535" spans="1:7" ht="13.15" customHeight="1" x14ac:dyDescent="0.2">
      <c r="A535" s="149" t="s">
        <v>413</v>
      </c>
      <c r="B535" s="115" t="s">
        <v>180</v>
      </c>
      <c r="C535" s="115" t="s">
        <v>75</v>
      </c>
      <c r="D535" s="116">
        <v>13000</v>
      </c>
      <c r="E535" s="116"/>
      <c r="F535" s="116">
        <f t="shared" si="56"/>
        <v>13000</v>
      </c>
      <c r="G535" s="92"/>
    </row>
    <row r="536" spans="1:7" ht="13.15" customHeight="1" x14ac:dyDescent="0.2">
      <c r="A536" s="149" t="s">
        <v>413</v>
      </c>
      <c r="B536" s="115" t="s">
        <v>181</v>
      </c>
      <c r="C536" s="115" t="s">
        <v>182</v>
      </c>
      <c r="D536" s="116">
        <v>500</v>
      </c>
      <c r="E536" s="116"/>
      <c r="F536" s="116">
        <f t="shared" si="56"/>
        <v>500</v>
      </c>
      <c r="G536" s="92"/>
    </row>
    <row r="537" spans="1:7" ht="13.15" customHeight="1" x14ac:dyDescent="0.2">
      <c r="A537" s="149" t="s">
        <v>413</v>
      </c>
      <c r="B537" s="115" t="s">
        <v>183</v>
      </c>
      <c r="C537" s="115" t="s">
        <v>184</v>
      </c>
      <c r="D537" s="116">
        <v>3000</v>
      </c>
      <c r="E537" s="116"/>
      <c r="F537" s="116">
        <f t="shared" si="56"/>
        <v>3000</v>
      </c>
      <c r="G537" s="92"/>
    </row>
    <row r="538" spans="1:7" ht="13.15" customHeight="1" x14ac:dyDescent="0.2">
      <c r="A538" s="149" t="s">
        <v>413</v>
      </c>
      <c r="B538" s="115" t="s">
        <v>185</v>
      </c>
      <c r="C538" s="115" t="s">
        <v>186</v>
      </c>
      <c r="D538" s="116">
        <v>5000</v>
      </c>
      <c r="E538" s="116"/>
      <c r="F538" s="116">
        <f t="shared" si="56"/>
        <v>5000</v>
      </c>
      <c r="G538" s="92"/>
    </row>
    <row r="539" spans="1:7" ht="13.15" customHeight="1" x14ac:dyDescent="0.2">
      <c r="A539" s="149" t="s">
        <v>413</v>
      </c>
      <c r="B539" s="115" t="s">
        <v>187</v>
      </c>
      <c r="C539" s="115" t="s">
        <v>188</v>
      </c>
      <c r="D539" s="116">
        <v>2800</v>
      </c>
      <c r="E539" s="116"/>
      <c r="F539" s="116">
        <f t="shared" si="56"/>
        <v>2800</v>
      </c>
      <c r="G539" s="92"/>
    </row>
    <row r="540" spans="1:7" ht="13.15" customHeight="1" x14ac:dyDescent="0.2">
      <c r="A540" s="149" t="s">
        <v>413</v>
      </c>
      <c r="B540" s="115" t="s">
        <v>189</v>
      </c>
      <c r="C540" s="115" t="s">
        <v>190</v>
      </c>
      <c r="D540" s="116">
        <v>7000</v>
      </c>
      <c r="E540" s="116"/>
      <c r="F540" s="116">
        <f t="shared" si="56"/>
        <v>7000</v>
      </c>
      <c r="G540" s="119"/>
    </row>
    <row r="541" spans="1:7" ht="13.15" customHeight="1" x14ac:dyDescent="0.2">
      <c r="A541" s="149" t="s">
        <v>413</v>
      </c>
      <c r="B541" s="115" t="s">
        <v>191</v>
      </c>
      <c r="C541" s="115" t="s">
        <v>192</v>
      </c>
      <c r="D541" s="116">
        <v>560</v>
      </c>
      <c r="E541" s="116"/>
      <c r="F541" s="116">
        <f t="shared" si="56"/>
        <v>560</v>
      </c>
      <c r="G541" s="92"/>
    </row>
    <row r="542" spans="1:7" ht="13.15" customHeight="1" x14ac:dyDescent="0.2">
      <c r="A542" s="149" t="s">
        <v>413</v>
      </c>
      <c r="B542" s="115" t="s">
        <v>193</v>
      </c>
      <c r="C542" s="115" t="s">
        <v>194</v>
      </c>
      <c r="D542" s="116">
        <v>0</v>
      </c>
      <c r="E542" s="116"/>
      <c r="F542" s="116">
        <f t="shared" si="56"/>
        <v>0</v>
      </c>
      <c r="G542" s="92"/>
    </row>
    <row r="543" spans="1:7" ht="13.15" customHeight="1" x14ac:dyDescent="0.2">
      <c r="A543" s="128" t="s">
        <v>413</v>
      </c>
      <c r="B543" s="87" t="s">
        <v>152</v>
      </c>
      <c r="C543" s="87" t="s">
        <v>153</v>
      </c>
      <c r="D543" s="110">
        <v>850</v>
      </c>
      <c r="E543" s="110"/>
      <c r="F543" s="110">
        <f t="shared" si="56"/>
        <v>850</v>
      </c>
      <c r="G543" s="92"/>
    </row>
    <row r="544" spans="1:7" ht="13.15" customHeight="1" x14ac:dyDescent="0.2">
      <c r="A544" s="128" t="s">
        <v>413</v>
      </c>
      <c r="B544" s="87" t="s">
        <v>154</v>
      </c>
      <c r="C544" s="87" t="s">
        <v>155</v>
      </c>
      <c r="D544" s="110">
        <v>1500</v>
      </c>
      <c r="E544" s="110"/>
      <c r="F544" s="110">
        <f t="shared" si="56"/>
        <v>1500</v>
      </c>
      <c r="G544" s="92"/>
    </row>
    <row r="545" spans="1:7" ht="13.15" customHeight="1" x14ac:dyDescent="0.2">
      <c r="A545" s="128" t="s">
        <v>413</v>
      </c>
      <c r="B545" s="87" t="s">
        <v>156</v>
      </c>
      <c r="C545" s="87" t="s">
        <v>157</v>
      </c>
      <c r="D545" s="110">
        <v>2000</v>
      </c>
      <c r="E545" s="110">
        <v>3600</v>
      </c>
      <c r="F545" s="110">
        <f t="shared" si="56"/>
        <v>5600</v>
      </c>
      <c r="G545" s="118" t="s">
        <v>418</v>
      </c>
    </row>
    <row r="546" spans="1:7" ht="13.15" customHeight="1" x14ac:dyDescent="0.2">
      <c r="A546" s="128" t="s">
        <v>413</v>
      </c>
      <c r="B546" s="87" t="s">
        <v>195</v>
      </c>
      <c r="C546" s="87" t="s">
        <v>196</v>
      </c>
      <c r="D546" s="110">
        <v>50000</v>
      </c>
      <c r="E546" s="150">
        <f>500+20000+1000</f>
        <v>21500</v>
      </c>
      <c r="F546" s="110">
        <f t="shared" si="56"/>
        <v>71500</v>
      </c>
      <c r="G546" s="140" t="s">
        <v>419</v>
      </c>
    </row>
    <row r="547" spans="1:7" ht="13.15" customHeight="1" x14ac:dyDescent="0.2">
      <c r="A547" s="100" t="s">
        <v>420</v>
      </c>
      <c r="B547" s="101"/>
      <c r="C547" s="101" t="s">
        <v>421</v>
      </c>
      <c r="D547" s="102">
        <f t="shared" ref="D547:F549" si="57">+D548</f>
        <v>0</v>
      </c>
      <c r="E547" s="102">
        <f t="shared" si="57"/>
        <v>6000</v>
      </c>
      <c r="F547" s="102">
        <f t="shared" si="57"/>
        <v>100993.5</v>
      </c>
      <c r="G547" s="118" t="s">
        <v>422</v>
      </c>
    </row>
    <row r="548" spans="1:7" ht="13.15" customHeight="1" x14ac:dyDescent="0.2">
      <c r="A548" s="126" t="s">
        <v>420</v>
      </c>
      <c r="B548" s="104" t="s">
        <v>166</v>
      </c>
      <c r="C548" s="104" t="s">
        <v>167</v>
      </c>
      <c r="D548" s="105">
        <f t="shared" si="57"/>
        <v>0</v>
      </c>
      <c r="E548" s="105">
        <f t="shared" si="57"/>
        <v>6000</v>
      </c>
      <c r="F548" s="105">
        <f t="shared" si="57"/>
        <v>100993.5</v>
      </c>
      <c r="G548" s="92"/>
    </row>
    <row r="549" spans="1:7" ht="13.15" customHeight="1" x14ac:dyDescent="0.2">
      <c r="A549" s="127" t="s">
        <v>420</v>
      </c>
      <c r="B549" s="107" t="s">
        <v>219</v>
      </c>
      <c r="C549" s="107" t="s">
        <v>220</v>
      </c>
      <c r="D549" s="108">
        <f t="shared" si="57"/>
        <v>0</v>
      </c>
      <c r="E549" s="108">
        <f t="shared" si="57"/>
        <v>6000</v>
      </c>
      <c r="F549" s="108">
        <f t="shared" si="57"/>
        <v>100993.5</v>
      </c>
      <c r="G549" s="92"/>
    </row>
    <row r="550" spans="1:7" ht="13.15" customHeight="1" x14ac:dyDescent="0.2">
      <c r="A550" s="128" t="s">
        <v>420</v>
      </c>
      <c r="B550" s="87" t="s">
        <v>221</v>
      </c>
      <c r="C550" s="87" t="s">
        <v>222</v>
      </c>
      <c r="D550" s="110">
        <v>0</v>
      </c>
      <c r="E550" s="110">
        <f>1000+5000</f>
        <v>6000</v>
      </c>
      <c r="F550" s="110">
        <f>1000+26760+14450+7500+7000+3000+36283.5+5000</f>
        <v>100993.5</v>
      </c>
      <c r="G550" s="118" t="s">
        <v>423</v>
      </c>
    </row>
    <row r="551" spans="1:7" ht="13.15" customHeight="1" x14ac:dyDescent="0.2">
      <c r="A551" s="100" t="s">
        <v>424</v>
      </c>
      <c r="B551" s="101"/>
      <c r="C551" s="101" t="s">
        <v>425</v>
      </c>
      <c r="D551" s="102">
        <f t="shared" ref="D551:F553" si="58">+D552</f>
        <v>10000</v>
      </c>
      <c r="E551" s="102">
        <f t="shared" si="58"/>
        <v>0</v>
      </c>
      <c r="F551" s="102">
        <f t="shared" si="58"/>
        <v>10000</v>
      </c>
      <c r="G551" s="92"/>
    </row>
    <row r="552" spans="1:7" ht="13.15" customHeight="1" x14ac:dyDescent="0.2">
      <c r="A552" s="103" t="s">
        <v>424</v>
      </c>
      <c r="B552" s="104" t="s">
        <v>166</v>
      </c>
      <c r="C552" s="104" t="s">
        <v>167</v>
      </c>
      <c r="D552" s="105">
        <f t="shared" si="58"/>
        <v>10000</v>
      </c>
      <c r="E552" s="105">
        <f t="shared" si="58"/>
        <v>0</v>
      </c>
      <c r="F552" s="105">
        <f t="shared" si="58"/>
        <v>10000</v>
      </c>
      <c r="G552" s="92"/>
    </row>
    <row r="553" spans="1:7" ht="13.15" customHeight="1" x14ac:dyDescent="0.2">
      <c r="A553" s="106" t="s">
        <v>424</v>
      </c>
      <c r="B553" s="107" t="s">
        <v>219</v>
      </c>
      <c r="C553" s="107" t="s">
        <v>220</v>
      </c>
      <c r="D553" s="108">
        <f t="shared" si="58"/>
        <v>10000</v>
      </c>
      <c r="E553" s="108">
        <f t="shared" si="58"/>
        <v>0</v>
      </c>
      <c r="F553" s="108">
        <f t="shared" si="58"/>
        <v>10000</v>
      </c>
      <c r="G553" s="92"/>
    </row>
    <row r="554" spans="1:7" ht="13.15" customHeight="1" x14ac:dyDescent="0.2">
      <c r="A554" s="109" t="s">
        <v>424</v>
      </c>
      <c r="B554" s="87" t="s">
        <v>221</v>
      </c>
      <c r="C554" s="87" t="s">
        <v>222</v>
      </c>
      <c r="D554" s="110">
        <v>10000</v>
      </c>
      <c r="E554" s="110"/>
      <c r="F554" s="110">
        <f>SUM(D554:E554)</f>
        <v>10000</v>
      </c>
      <c r="G554" s="92"/>
    </row>
    <row r="555" spans="1:7" ht="13.15" customHeight="1" x14ac:dyDescent="0.2">
      <c r="A555" s="100" t="s">
        <v>426</v>
      </c>
      <c r="B555" s="101"/>
      <c r="C555" s="101" t="s">
        <v>92</v>
      </c>
      <c r="D555" s="102">
        <f t="shared" ref="D555:F557" si="59">+D556</f>
        <v>0</v>
      </c>
      <c r="E555" s="102">
        <f t="shared" si="59"/>
        <v>0</v>
      </c>
      <c r="F555" s="102">
        <f t="shared" si="59"/>
        <v>0</v>
      </c>
      <c r="G555" s="92"/>
    </row>
    <row r="556" spans="1:7" ht="13.15" customHeight="1" x14ac:dyDescent="0.2">
      <c r="A556" s="103" t="s">
        <v>426</v>
      </c>
      <c r="B556" s="104" t="s">
        <v>166</v>
      </c>
      <c r="C556" s="104" t="s">
        <v>167</v>
      </c>
      <c r="D556" s="105">
        <f t="shared" si="59"/>
        <v>0</v>
      </c>
      <c r="E556" s="105">
        <f t="shared" si="59"/>
        <v>0</v>
      </c>
      <c r="F556" s="105">
        <f t="shared" si="59"/>
        <v>0</v>
      </c>
      <c r="G556" s="92"/>
    </row>
    <row r="557" spans="1:7" ht="13.15" customHeight="1" x14ac:dyDescent="0.2">
      <c r="A557" s="106" t="s">
        <v>426</v>
      </c>
      <c r="B557" s="107" t="s">
        <v>219</v>
      </c>
      <c r="C557" s="107" t="s">
        <v>220</v>
      </c>
      <c r="D557" s="108">
        <f t="shared" si="59"/>
        <v>0</v>
      </c>
      <c r="E557" s="108">
        <f t="shared" si="59"/>
        <v>0</v>
      </c>
      <c r="F557" s="108">
        <f t="shared" si="59"/>
        <v>0</v>
      </c>
      <c r="G557" s="92"/>
    </row>
    <row r="558" spans="1:7" ht="13.15" customHeight="1" x14ac:dyDescent="0.2">
      <c r="A558" s="109" t="s">
        <v>426</v>
      </c>
      <c r="B558" s="87" t="s">
        <v>270</v>
      </c>
      <c r="C558" s="87" t="s">
        <v>271</v>
      </c>
      <c r="D558" s="110">
        <f>+D559</f>
        <v>0</v>
      </c>
      <c r="E558" s="110"/>
      <c r="F558" s="110">
        <f>SUM(D558:E558)</f>
        <v>0</v>
      </c>
      <c r="G558" s="92"/>
    </row>
    <row r="559" spans="1:7" ht="13.15" customHeight="1" x14ac:dyDescent="0.2">
      <c r="A559" s="109" t="s">
        <v>426</v>
      </c>
      <c r="B559" s="87" t="s">
        <v>427</v>
      </c>
      <c r="C559" s="87" t="s">
        <v>428</v>
      </c>
      <c r="D559" s="110">
        <v>0</v>
      </c>
      <c r="E559" s="110"/>
      <c r="F559" s="110">
        <f>SUM(D559:E559)</f>
        <v>0</v>
      </c>
      <c r="G559" s="92"/>
    </row>
    <row r="560" spans="1:7" ht="13.15" customHeight="1" x14ac:dyDescent="0.2">
      <c r="A560" s="100" t="s">
        <v>429</v>
      </c>
      <c r="B560" s="101"/>
      <c r="C560" s="101" t="s">
        <v>430</v>
      </c>
      <c r="D560" s="102">
        <f t="shared" ref="D560:F562" si="60">+D561</f>
        <v>0</v>
      </c>
      <c r="E560" s="102">
        <f t="shared" si="60"/>
        <v>180000</v>
      </c>
      <c r="F560" s="102">
        <f t="shared" si="60"/>
        <v>180000</v>
      </c>
      <c r="G560" s="92"/>
    </row>
    <row r="561" spans="1:7" ht="13.15" customHeight="1" x14ac:dyDescent="0.2">
      <c r="A561" s="103" t="s">
        <v>429</v>
      </c>
      <c r="B561" s="104" t="s">
        <v>127</v>
      </c>
      <c r="C561" s="104" t="s">
        <v>128</v>
      </c>
      <c r="D561" s="105">
        <f t="shared" si="60"/>
        <v>0</v>
      </c>
      <c r="E561" s="105">
        <f t="shared" si="60"/>
        <v>180000</v>
      </c>
      <c r="F561" s="105">
        <f t="shared" si="60"/>
        <v>180000</v>
      </c>
      <c r="G561" s="92"/>
    </row>
    <row r="562" spans="1:7" ht="13.15" customHeight="1" x14ac:dyDescent="0.2">
      <c r="A562" s="106" t="s">
        <v>429</v>
      </c>
      <c r="B562" s="107" t="s">
        <v>129</v>
      </c>
      <c r="C562" s="107" t="s">
        <v>130</v>
      </c>
      <c r="D562" s="108">
        <f t="shared" si="60"/>
        <v>0</v>
      </c>
      <c r="E562" s="108">
        <f t="shared" si="60"/>
        <v>180000</v>
      </c>
      <c r="F562" s="108">
        <f t="shared" si="60"/>
        <v>180000</v>
      </c>
      <c r="G562" s="92"/>
    </row>
    <row r="563" spans="1:7" ht="13.15" customHeight="1" x14ac:dyDescent="0.2">
      <c r="A563" s="109" t="s">
        <v>429</v>
      </c>
      <c r="B563" s="87" t="s">
        <v>163</v>
      </c>
      <c r="C563" s="87" t="s">
        <v>164</v>
      </c>
      <c r="D563" s="110">
        <v>0</v>
      </c>
      <c r="E563" s="110">
        <v>180000</v>
      </c>
      <c r="F563" s="110">
        <f>SUM(D563:E563)</f>
        <v>180000</v>
      </c>
      <c r="G563" s="92"/>
    </row>
    <row r="564" spans="1:7" ht="13.15" customHeight="1" x14ac:dyDescent="0.2">
      <c r="A564" s="100" t="s">
        <v>93</v>
      </c>
      <c r="B564" s="101"/>
      <c r="C564" s="101" t="s">
        <v>94</v>
      </c>
      <c r="D564" s="102">
        <f t="shared" ref="D564:F566" si="61">+D565</f>
        <v>3500</v>
      </c>
      <c r="E564" s="102">
        <f t="shared" si="61"/>
        <v>0</v>
      </c>
      <c r="F564" s="102">
        <f t="shared" si="61"/>
        <v>3500</v>
      </c>
      <c r="G564" s="92"/>
    </row>
    <row r="565" spans="1:7" ht="13.15" customHeight="1" x14ac:dyDescent="0.2">
      <c r="A565" s="103" t="s">
        <v>93</v>
      </c>
      <c r="B565" s="104" t="s">
        <v>133</v>
      </c>
      <c r="C565" s="104" t="s">
        <v>134</v>
      </c>
      <c r="D565" s="105">
        <f t="shared" si="61"/>
        <v>3500</v>
      </c>
      <c r="E565" s="105">
        <f t="shared" si="61"/>
        <v>0</v>
      </c>
      <c r="F565" s="105">
        <f t="shared" si="61"/>
        <v>3500</v>
      </c>
      <c r="G565" s="92"/>
    </row>
    <row r="566" spans="1:7" ht="13.15" customHeight="1" x14ac:dyDescent="0.2">
      <c r="A566" s="106" t="s">
        <v>93</v>
      </c>
      <c r="B566" s="107" t="s">
        <v>145</v>
      </c>
      <c r="C566" s="107" t="s">
        <v>32</v>
      </c>
      <c r="D566" s="108">
        <f t="shared" si="61"/>
        <v>3500</v>
      </c>
      <c r="E566" s="108">
        <f t="shared" si="61"/>
        <v>0</v>
      </c>
      <c r="F566" s="108">
        <f t="shared" si="61"/>
        <v>3500</v>
      </c>
      <c r="G566" s="92"/>
    </row>
    <row r="567" spans="1:7" ht="13.15" customHeight="1" x14ac:dyDescent="0.2">
      <c r="A567" s="109" t="s">
        <v>93</v>
      </c>
      <c r="B567" s="87" t="s">
        <v>195</v>
      </c>
      <c r="C567" s="87" t="s">
        <v>196</v>
      </c>
      <c r="D567" s="110">
        <v>3500</v>
      </c>
      <c r="E567" s="110"/>
      <c r="F567" s="110">
        <f>SUM(D567:E567)</f>
        <v>3500</v>
      </c>
      <c r="G567" s="92"/>
    </row>
    <row r="568" spans="1:7" ht="13.15" customHeight="1" x14ac:dyDescent="0.2">
      <c r="A568" s="100" t="s">
        <v>95</v>
      </c>
      <c r="B568" s="101"/>
      <c r="C568" s="101" t="s">
        <v>96</v>
      </c>
      <c r="D568" s="102">
        <f t="shared" ref="D568:F569" si="62">+D569</f>
        <v>0</v>
      </c>
      <c r="E568" s="102">
        <f t="shared" si="62"/>
        <v>10000</v>
      </c>
      <c r="F568" s="102">
        <f t="shared" si="62"/>
        <v>10000</v>
      </c>
      <c r="G568" s="92"/>
    </row>
    <row r="569" spans="1:7" ht="13.15" customHeight="1" x14ac:dyDescent="0.2">
      <c r="A569" s="103" t="s">
        <v>95</v>
      </c>
      <c r="B569" s="104" t="s">
        <v>166</v>
      </c>
      <c r="C569" s="104" t="s">
        <v>167</v>
      </c>
      <c r="D569" s="105">
        <f t="shared" si="62"/>
        <v>0</v>
      </c>
      <c r="E569" s="105">
        <f t="shared" si="62"/>
        <v>10000</v>
      </c>
      <c r="F569" s="105">
        <f t="shared" si="62"/>
        <v>10000</v>
      </c>
      <c r="G569" s="92"/>
    </row>
    <row r="570" spans="1:7" ht="13.15" customHeight="1" x14ac:dyDescent="0.2">
      <c r="A570" s="106" t="s">
        <v>95</v>
      </c>
      <c r="B570" s="107" t="s">
        <v>219</v>
      </c>
      <c r="C570" s="107" t="s">
        <v>220</v>
      </c>
      <c r="D570" s="108">
        <f>SUM(D571:D572)</f>
        <v>0</v>
      </c>
      <c r="E570" s="108">
        <f>SUM(E571:E572)</f>
        <v>10000</v>
      </c>
      <c r="F570" s="108">
        <f>SUM(F571:F572)</f>
        <v>10000</v>
      </c>
      <c r="G570" s="92"/>
    </row>
    <row r="571" spans="1:7" ht="13.15" customHeight="1" x14ac:dyDescent="0.2">
      <c r="A571" s="109" t="s">
        <v>95</v>
      </c>
      <c r="B571" s="87" t="s">
        <v>221</v>
      </c>
      <c r="C571" s="87" t="s">
        <v>222</v>
      </c>
      <c r="D571" s="110">
        <v>0</v>
      </c>
      <c r="E571" s="110"/>
      <c r="F571" s="110">
        <f>SUM(D571:E571)</f>
        <v>0</v>
      </c>
      <c r="G571" s="92"/>
    </row>
    <row r="572" spans="1:7" ht="13.15" customHeight="1" x14ac:dyDescent="0.2">
      <c r="A572" s="109" t="s">
        <v>95</v>
      </c>
      <c r="B572" s="87" t="s">
        <v>270</v>
      </c>
      <c r="C572" s="87" t="s">
        <v>271</v>
      </c>
      <c r="D572" s="110">
        <v>0</v>
      </c>
      <c r="E572" s="110">
        <v>10000</v>
      </c>
      <c r="F572" s="110">
        <f>SUM(D572:E572)</f>
        <v>10000</v>
      </c>
      <c r="G572" s="89" t="s">
        <v>431</v>
      </c>
    </row>
    <row r="573" spans="1:7" ht="13.15" customHeight="1" x14ac:dyDescent="0.2">
      <c r="A573" s="97" t="s">
        <v>97</v>
      </c>
      <c r="B573" s="98"/>
      <c r="C573" s="98" t="s">
        <v>432</v>
      </c>
      <c r="D573" s="99">
        <f>D575+D604+D637+D669+D677+D681+D689+D694+D722+D726+D735+D740+D744+D753+D792+D796+D802+D809+D814+D819+D824+D858+D862+D871+D876+D886+D897+D893+D905+D910+D928+D934+D939+D944+D949+D963+D967+D1019+D1023+D1027+D1035+D1048</f>
        <v>8743795.9890000001</v>
      </c>
      <c r="E573" s="99">
        <f>E575+E604+E637+E669+E677+E681+E689+E694+E722+E726+E735+E740+E744+E753+E792+E796+E802+E809+E814+E819+E824+E858+E862+E871+E876+E886+E897+E893+E905+E910+E928+E934+E939+E944+E949+E963+E967+E971+E992+E1019+E1023+E1027+E1035+E1048</f>
        <v>958023.08000000007</v>
      </c>
      <c r="F573" s="99">
        <f>F575+F604+F637+F669+F677+F681+F689+F694+F722+F726+F735+F740+F744+F753+F792+F796+F802+F809+F814+F819+F824+F858+F862+F871+F876+F886+F897+F893+F905+F910+F928+F934+F939+F944+F949+F963+F967+F971+F992+F1019+F1023+F1027+F1035+F1048</f>
        <v>9701819.0690000001</v>
      </c>
      <c r="G573" s="92"/>
    </row>
    <row r="574" spans="1:7" ht="13.15" customHeight="1" x14ac:dyDescent="0.2">
      <c r="A574" s="122" t="s">
        <v>98</v>
      </c>
      <c r="B574" s="123"/>
      <c r="C574" s="123" t="s">
        <v>433</v>
      </c>
      <c r="D574" s="124">
        <f t="shared" ref="D574" si="63">+D575+D604+D637+D669+D677+D681</f>
        <v>2616132.04</v>
      </c>
      <c r="E574" s="124">
        <f>+E575+E604+E637+E669+E677+E681</f>
        <v>106586</v>
      </c>
      <c r="F574" s="124">
        <f>+F575+F604+F637+F669+F677+F681</f>
        <v>2722718.04</v>
      </c>
      <c r="G574" s="92"/>
    </row>
    <row r="575" spans="1:7" ht="13.15" customHeight="1" x14ac:dyDescent="0.2">
      <c r="A575" s="100" t="s">
        <v>434</v>
      </c>
      <c r="B575" s="101"/>
      <c r="C575" s="101" t="s">
        <v>435</v>
      </c>
      <c r="D575" s="102">
        <f>D576</f>
        <v>733226</v>
      </c>
      <c r="E575" s="102">
        <f>E576</f>
        <v>21301</v>
      </c>
      <c r="F575" s="102">
        <f>F576</f>
        <v>754527</v>
      </c>
      <c r="G575" s="92"/>
    </row>
    <row r="576" spans="1:7" ht="13.15" customHeight="1" x14ac:dyDescent="0.2">
      <c r="A576" s="103" t="s">
        <v>434</v>
      </c>
      <c r="B576" s="104" t="s">
        <v>133</v>
      </c>
      <c r="C576" s="104" t="s">
        <v>134</v>
      </c>
      <c r="D576" s="105">
        <f>D577+D581</f>
        <v>733226</v>
      </c>
      <c r="E576" s="105">
        <f>E577+E581</f>
        <v>21301</v>
      </c>
      <c r="F576" s="105">
        <f>F577+F581</f>
        <v>754527</v>
      </c>
      <c r="G576" s="92"/>
    </row>
    <row r="577" spans="1:7" ht="13.15" customHeight="1" x14ac:dyDescent="0.2">
      <c r="A577" s="106" t="s">
        <v>434</v>
      </c>
      <c r="B577" s="107" t="s">
        <v>135</v>
      </c>
      <c r="C577" s="107" t="s">
        <v>31</v>
      </c>
      <c r="D577" s="108">
        <f>SUM(D578:D580)</f>
        <v>652388</v>
      </c>
      <c r="E577" s="108">
        <f>SUM(E578:E580)</f>
        <v>1391</v>
      </c>
      <c r="F577" s="108">
        <f>SUM(F578:F580)</f>
        <v>653779</v>
      </c>
      <c r="G577" s="92"/>
    </row>
    <row r="578" spans="1:7" ht="13.15" customHeight="1" x14ac:dyDescent="0.2">
      <c r="A578" s="109" t="s">
        <v>434</v>
      </c>
      <c r="B578" s="87" t="s">
        <v>138</v>
      </c>
      <c r="C578" s="87" t="s">
        <v>139</v>
      </c>
      <c r="D578" s="110">
        <v>489413</v>
      </c>
      <c r="E578" s="110">
        <v>-789</v>
      </c>
      <c r="F578" s="110">
        <f>SUM(D578:E578)</f>
        <v>488624</v>
      </c>
      <c r="G578" s="92" t="s">
        <v>436</v>
      </c>
    </row>
    <row r="579" spans="1:7" ht="13.15" customHeight="1" x14ac:dyDescent="0.2">
      <c r="A579" s="109" t="s">
        <v>434</v>
      </c>
      <c r="B579" s="87" t="s">
        <v>174</v>
      </c>
      <c r="C579" s="87" t="s">
        <v>175</v>
      </c>
      <c r="D579" s="110">
        <v>0</v>
      </c>
      <c r="E579" s="110">
        <v>2180</v>
      </c>
      <c r="F579" s="110">
        <f>SUM(D579:E579)</f>
        <v>2180</v>
      </c>
      <c r="G579" s="92" t="s">
        <v>144</v>
      </c>
    </row>
    <row r="580" spans="1:7" ht="13.15" customHeight="1" x14ac:dyDescent="0.2">
      <c r="A580" s="109" t="s">
        <v>434</v>
      </c>
      <c r="B580" s="87" t="s">
        <v>142</v>
      </c>
      <c r="C580" s="87" t="s">
        <v>143</v>
      </c>
      <c r="D580" s="110">
        <v>162975</v>
      </c>
      <c r="E580" s="110"/>
      <c r="F580" s="110">
        <f>SUM(D580:E580)</f>
        <v>162975</v>
      </c>
      <c r="G580" s="89"/>
    </row>
    <row r="581" spans="1:7" ht="13.15" customHeight="1" x14ac:dyDescent="0.2">
      <c r="A581" s="106" t="s">
        <v>434</v>
      </c>
      <c r="B581" s="107" t="s">
        <v>145</v>
      </c>
      <c r="C581" s="107" t="s">
        <v>32</v>
      </c>
      <c r="D581" s="108">
        <f>SUM(D582:D603)-D586</f>
        <v>80838</v>
      </c>
      <c r="E581" s="108">
        <f>SUM(E582:E603)-E586</f>
        <v>19910</v>
      </c>
      <c r="F581" s="108">
        <f>SUM(F582:F603)-F586</f>
        <v>100748</v>
      </c>
      <c r="G581" s="92"/>
    </row>
    <row r="582" spans="1:7" ht="13.15" customHeight="1" x14ac:dyDescent="0.2">
      <c r="A582" s="109" t="s">
        <v>434</v>
      </c>
      <c r="B582" s="87" t="s">
        <v>146</v>
      </c>
      <c r="C582" s="87" t="s">
        <v>147</v>
      </c>
      <c r="D582" s="110">
        <v>3300</v>
      </c>
      <c r="E582" s="110"/>
      <c r="F582" s="110">
        <f>SUM(D582:E582)</f>
        <v>3300</v>
      </c>
      <c r="G582" s="92"/>
    </row>
    <row r="583" spans="1:7" ht="13.15" customHeight="1" x14ac:dyDescent="0.2">
      <c r="A583" s="109" t="s">
        <v>434</v>
      </c>
      <c r="B583" s="87" t="s">
        <v>148</v>
      </c>
      <c r="C583" s="87" t="s">
        <v>149</v>
      </c>
      <c r="D583" s="110">
        <v>75</v>
      </c>
      <c r="E583" s="110"/>
      <c r="F583" s="110">
        <f>SUM(D583:E583)</f>
        <v>75</v>
      </c>
      <c r="G583" s="92"/>
    </row>
    <row r="584" spans="1:7" ht="13.15" customHeight="1" x14ac:dyDescent="0.2">
      <c r="A584" s="109" t="s">
        <v>434</v>
      </c>
      <c r="B584" s="87" t="s">
        <v>150</v>
      </c>
      <c r="C584" s="87" t="s">
        <v>151</v>
      </c>
      <c r="D584" s="110">
        <v>1930</v>
      </c>
      <c r="E584" s="110"/>
      <c r="F584" s="110">
        <f>SUM(D584:E584)</f>
        <v>1930</v>
      </c>
      <c r="G584" s="92"/>
    </row>
    <row r="585" spans="1:7" ht="13.15" customHeight="1" x14ac:dyDescent="0.2">
      <c r="A585" s="109" t="s">
        <v>434</v>
      </c>
      <c r="B585" s="87" t="s">
        <v>437</v>
      </c>
      <c r="C585" s="87" t="s">
        <v>438</v>
      </c>
      <c r="D585" s="110"/>
      <c r="E585" s="110"/>
      <c r="F585" s="110">
        <f>SUM(D585:E585)</f>
        <v>0</v>
      </c>
      <c r="G585" s="92"/>
    </row>
    <row r="586" spans="1:7" ht="13.15" customHeight="1" x14ac:dyDescent="0.2">
      <c r="A586" s="111" t="s">
        <v>434</v>
      </c>
      <c r="B586" s="112" t="s">
        <v>176</v>
      </c>
      <c r="C586" s="112" t="s">
        <v>177</v>
      </c>
      <c r="D586" s="113">
        <f>SUM(D587:D594)</f>
        <v>53942</v>
      </c>
      <c r="E586" s="113">
        <f>SUM(E587:E594)</f>
        <v>1500</v>
      </c>
      <c r="F586" s="113">
        <f>SUM(F587:F594)</f>
        <v>55442</v>
      </c>
      <c r="G586" s="92"/>
    </row>
    <row r="587" spans="1:7" ht="13.15" customHeight="1" x14ac:dyDescent="0.2">
      <c r="A587" s="114" t="s">
        <v>434</v>
      </c>
      <c r="B587" s="115" t="s">
        <v>178</v>
      </c>
      <c r="C587" s="115" t="s">
        <v>179</v>
      </c>
      <c r="D587" s="116">
        <v>21843</v>
      </c>
      <c r="E587" s="116"/>
      <c r="F587" s="116">
        <f t="shared" ref="F587:F603" si="64">SUM(D587:E587)</f>
        <v>21843</v>
      </c>
      <c r="G587" s="92"/>
    </row>
    <row r="588" spans="1:7" ht="13.15" customHeight="1" x14ac:dyDescent="0.2">
      <c r="A588" s="114" t="s">
        <v>434</v>
      </c>
      <c r="B588" s="115" t="s">
        <v>180</v>
      </c>
      <c r="C588" s="115" t="s">
        <v>75</v>
      </c>
      <c r="D588" s="116">
        <v>11700</v>
      </c>
      <c r="E588" s="116"/>
      <c r="F588" s="116">
        <f t="shared" si="64"/>
        <v>11700</v>
      </c>
      <c r="G588" s="92"/>
    </row>
    <row r="589" spans="1:7" ht="13.15" customHeight="1" x14ac:dyDescent="0.2">
      <c r="A589" s="114" t="s">
        <v>434</v>
      </c>
      <c r="B589" s="115" t="s">
        <v>181</v>
      </c>
      <c r="C589" s="115" t="s">
        <v>182</v>
      </c>
      <c r="D589" s="116">
        <v>4128</v>
      </c>
      <c r="E589" s="116"/>
      <c r="F589" s="116">
        <f t="shared" si="64"/>
        <v>4128</v>
      </c>
      <c r="G589" s="92"/>
    </row>
    <row r="590" spans="1:7" ht="13.15" customHeight="1" x14ac:dyDescent="0.2">
      <c r="A590" s="114" t="s">
        <v>434</v>
      </c>
      <c r="B590" s="115" t="s">
        <v>183</v>
      </c>
      <c r="C590" s="115" t="s">
        <v>184</v>
      </c>
      <c r="D590" s="116">
        <v>11571</v>
      </c>
      <c r="E590" s="116"/>
      <c r="F590" s="116">
        <f t="shared" si="64"/>
        <v>11571</v>
      </c>
      <c r="G590" s="92"/>
    </row>
    <row r="591" spans="1:7" ht="13.15" customHeight="1" x14ac:dyDescent="0.2">
      <c r="A591" s="114" t="s">
        <v>434</v>
      </c>
      <c r="B591" s="115" t="s">
        <v>185</v>
      </c>
      <c r="C591" s="115" t="s">
        <v>186</v>
      </c>
      <c r="D591" s="116">
        <v>3527</v>
      </c>
      <c r="E591" s="116">
        <v>1500</v>
      </c>
      <c r="F591" s="116">
        <f t="shared" si="64"/>
        <v>5027</v>
      </c>
      <c r="G591" s="92" t="s">
        <v>439</v>
      </c>
    </row>
    <row r="592" spans="1:7" ht="13.15" customHeight="1" x14ac:dyDescent="0.2">
      <c r="A592" s="114" t="s">
        <v>434</v>
      </c>
      <c r="B592" s="115" t="s">
        <v>187</v>
      </c>
      <c r="C592" s="115" t="s">
        <v>188</v>
      </c>
      <c r="D592" s="116">
        <v>742</v>
      </c>
      <c r="E592" s="116"/>
      <c r="F592" s="116">
        <f t="shared" si="64"/>
        <v>742</v>
      </c>
      <c r="G592" s="92"/>
    </row>
    <row r="593" spans="1:7" ht="13.15" customHeight="1" x14ac:dyDescent="0.2">
      <c r="A593" s="114" t="s">
        <v>434</v>
      </c>
      <c r="B593" s="115" t="s">
        <v>189</v>
      </c>
      <c r="C593" s="115" t="s">
        <v>190</v>
      </c>
      <c r="D593" s="116">
        <v>0</v>
      </c>
      <c r="E593" s="151"/>
      <c r="F593" s="116">
        <f t="shared" si="64"/>
        <v>0</v>
      </c>
      <c r="G593" s="152"/>
    </row>
    <row r="594" spans="1:7" ht="13.15" customHeight="1" x14ac:dyDescent="0.2">
      <c r="A594" s="114" t="s">
        <v>434</v>
      </c>
      <c r="B594" s="115" t="s">
        <v>191</v>
      </c>
      <c r="C594" s="115" t="s">
        <v>192</v>
      </c>
      <c r="D594" s="116">
        <v>431</v>
      </c>
      <c r="E594" s="116"/>
      <c r="F594" s="116">
        <f t="shared" si="64"/>
        <v>431</v>
      </c>
      <c r="G594" s="92"/>
    </row>
    <row r="595" spans="1:7" ht="13.15" customHeight="1" x14ac:dyDescent="0.2">
      <c r="A595" s="109" t="s">
        <v>434</v>
      </c>
      <c r="B595" s="87" t="s">
        <v>152</v>
      </c>
      <c r="C595" s="87" t="s">
        <v>153</v>
      </c>
      <c r="D595" s="110">
        <v>389</v>
      </c>
      <c r="E595" s="110"/>
      <c r="F595" s="110">
        <f t="shared" si="64"/>
        <v>389</v>
      </c>
      <c r="G595" s="92"/>
    </row>
    <row r="596" spans="1:7" ht="13.15" customHeight="1" x14ac:dyDescent="0.2">
      <c r="A596" s="109" t="s">
        <v>434</v>
      </c>
      <c r="B596" s="87" t="s">
        <v>154</v>
      </c>
      <c r="C596" s="87" t="s">
        <v>155</v>
      </c>
      <c r="D596" s="110">
        <v>3238</v>
      </c>
      <c r="E596" s="110"/>
      <c r="F596" s="110">
        <f t="shared" si="64"/>
        <v>3238</v>
      </c>
      <c r="G596" s="92"/>
    </row>
    <row r="597" spans="1:7" ht="13.15" customHeight="1" x14ac:dyDescent="0.2">
      <c r="A597" s="109" t="s">
        <v>434</v>
      </c>
      <c r="B597" s="87" t="s">
        <v>156</v>
      </c>
      <c r="C597" s="87" t="s">
        <v>157</v>
      </c>
      <c r="D597" s="110">
        <v>3000</v>
      </c>
      <c r="E597" s="110">
        <v>18000</v>
      </c>
      <c r="F597" s="110">
        <f t="shared" si="64"/>
        <v>21000</v>
      </c>
      <c r="G597" s="92" t="s">
        <v>440</v>
      </c>
    </row>
    <row r="598" spans="1:7" ht="13.15" customHeight="1" x14ac:dyDescent="0.2">
      <c r="A598" s="109" t="s">
        <v>434</v>
      </c>
      <c r="B598" s="87" t="s">
        <v>158</v>
      </c>
      <c r="C598" s="87" t="s">
        <v>159</v>
      </c>
      <c r="D598" s="110">
        <v>269</v>
      </c>
      <c r="E598" s="110"/>
      <c r="F598" s="110">
        <f t="shared" si="64"/>
        <v>269</v>
      </c>
      <c r="G598" s="92"/>
    </row>
    <row r="599" spans="1:7" ht="13.15" customHeight="1" x14ac:dyDescent="0.2">
      <c r="A599" s="109" t="s">
        <v>434</v>
      </c>
      <c r="B599" s="87" t="s">
        <v>381</v>
      </c>
      <c r="C599" s="87" t="s">
        <v>382</v>
      </c>
      <c r="D599" s="110">
        <v>13195</v>
      </c>
      <c r="E599" s="110"/>
      <c r="F599" s="110">
        <f t="shared" si="64"/>
        <v>13195</v>
      </c>
      <c r="G599" s="92"/>
    </row>
    <row r="600" spans="1:7" ht="13.15" customHeight="1" x14ac:dyDescent="0.2">
      <c r="A600" s="109" t="s">
        <v>434</v>
      </c>
      <c r="B600" s="87" t="s">
        <v>441</v>
      </c>
      <c r="C600" s="87" t="s">
        <v>442</v>
      </c>
      <c r="D600" s="110"/>
      <c r="E600" s="110">
        <v>410</v>
      </c>
      <c r="F600" s="110">
        <f t="shared" si="64"/>
        <v>410</v>
      </c>
      <c r="G600" s="92" t="s">
        <v>443</v>
      </c>
    </row>
    <row r="601" spans="1:7" ht="13.15" customHeight="1" x14ac:dyDescent="0.2">
      <c r="A601" s="109" t="s">
        <v>434</v>
      </c>
      <c r="B601" s="87" t="s">
        <v>195</v>
      </c>
      <c r="C601" s="87" t="s">
        <v>196</v>
      </c>
      <c r="D601" s="110">
        <v>1500</v>
      </c>
      <c r="E601" s="110"/>
      <c r="F601" s="110">
        <f t="shared" si="64"/>
        <v>1500</v>
      </c>
      <c r="G601" s="92"/>
    </row>
    <row r="602" spans="1:7" ht="13.15" customHeight="1" x14ac:dyDescent="0.2">
      <c r="A602" s="109" t="s">
        <v>434</v>
      </c>
      <c r="B602" s="87" t="s">
        <v>444</v>
      </c>
      <c r="C602" s="87" t="s">
        <v>445</v>
      </c>
      <c r="D602" s="110"/>
      <c r="E602" s="110"/>
      <c r="F602" s="110">
        <f t="shared" si="64"/>
        <v>0</v>
      </c>
      <c r="G602" s="92"/>
    </row>
    <row r="603" spans="1:7" ht="13.15" customHeight="1" x14ac:dyDescent="0.2">
      <c r="A603" s="109" t="s">
        <v>434</v>
      </c>
      <c r="B603" s="87" t="s">
        <v>199</v>
      </c>
      <c r="C603" s="87" t="s">
        <v>200</v>
      </c>
      <c r="D603" s="110"/>
      <c r="E603" s="110"/>
      <c r="F603" s="110">
        <f t="shared" si="64"/>
        <v>0</v>
      </c>
      <c r="G603" s="92"/>
    </row>
    <row r="604" spans="1:7" ht="13.15" customHeight="1" x14ac:dyDescent="0.2">
      <c r="A604" s="100" t="s">
        <v>446</v>
      </c>
      <c r="B604" s="101"/>
      <c r="C604" s="101" t="s">
        <v>447</v>
      </c>
      <c r="D604" s="102">
        <f>D605</f>
        <v>691344.92500000005</v>
      </c>
      <c r="E604" s="102">
        <f>E605</f>
        <v>11811</v>
      </c>
      <c r="F604" s="102">
        <f>F605</f>
        <v>703155.92500000005</v>
      </c>
      <c r="G604" s="92"/>
    </row>
    <row r="605" spans="1:7" ht="13.15" customHeight="1" x14ac:dyDescent="0.2">
      <c r="A605" s="103" t="s">
        <v>446</v>
      </c>
      <c r="B605" s="104" t="s">
        <v>133</v>
      </c>
      <c r="C605" s="104" t="s">
        <v>134</v>
      </c>
      <c r="D605" s="105">
        <f>D606+D610</f>
        <v>691344.92500000005</v>
      </c>
      <c r="E605" s="105">
        <f>E606+E610</f>
        <v>11811</v>
      </c>
      <c r="F605" s="105">
        <f>F606+F610</f>
        <v>703155.92500000005</v>
      </c>
      <c r="G605" s="92"/>
    </row>
    <row r="606" spans="1:7" ht="13.15" customHeight="1" x14ac:dyDescent="0.2">
      <c r="A606" s="106" t="s">
        <v>446</v>
      </c>
      <c r="B606" s="107" t="s">
        <v>135</v>
      </c>
      <c r="C606" s="107" t="s">
        <v>31</v>
      </c>
      <c r="D606" s="108">
        <f>SUM(D607:D609)</f>
        <v>610813.92500000005</v>
      </c>
      <c r="E606" s="108">
        <f>SUM(E607:E609)</f>
        <v>-3361</v>
      </c>
      <c r="F606" s="108">
        <f>SUM(F607:F609)</f>
        <v>607452.92500000005</v>
      </c>
      <c r="G606" s="92"/>
    </row>
    <row r="607" spans="1:7" ht="13.15" customHeight="1" x14ac:dyDescent="0.2">
      <c r="A607" s="109" t="s">
        <v>446</v>
      </c>
      <c r="B607" s="87" t="s">
        <v>138</v>
      </c>
      <c r="C607" s="87" t="s">
        <v>139</v>
      </c>
      <c r="D607" s="110">
        <v>458225</v>
      </c>
      <c r="E607" s="110">
        <v>-4224</v>
      </c>
      <c r="F607" s="110">
        <f>SUM(D607:E607)</f>
        <v>454001</v>
      </c>
      <c r="G607" s="92" t="s">
        <v>436</v>
      </c>
    </row>
    <row r="608" spans="1:7" ht="13.15" customHeight="1" x14ac:dyDescent="0.2">
      <c r="A608" s="109" t="s">
        <v>446</v>
      </c>
      <c r="B608" s="87" t="s">
        <v>174</v>
      </c>
      <c r="C608" s="87" t="s">
        <v>175</v>
      </c>
      <c r="D608" s="110"/>
      <c r="E608" s="110"/>
      <c r="F608" s="110">
        <f>SUM(D608:E608)</f>
        <v>0</v>
      </c>
      <c r="G608" s="92"/>
    </row>
    <row r="609" spans="1:7" ht="13.15" customHeight="1" x14ac:dyDescent="0.2">
      <c r="A609" s="109" t="s">
        <v>446</v>
      </c>
      <c r="B609" s="87" t="s">
        <v>142</v>
      </c>
      <c r="C609" s="87" t="s">
        <v>143</v>
      </c>
      <c r="D609" s="110">
        <f>D607*0.333</f>
        <v>152588.92500000002</v>
      </c>
      <c r="E609" s="110">
        <v>863</v>
      </c>
      <c r="F609" s="110">
        <f>SUM(D609:E609)</f>
        <v>153451.92500000002</v>
      </c>
      <c r="G609" s="92" t="s">
        <v>144</v>
      </c>
    </row>
    <row r="610" spans="1:7" ht="13.15" customHeight="1" x14ac:dyDescent="0.2">
      <c r="A610" s="106" t="s">
        <v>446</v>
      </c>
      <c r="B610" s="107" t="s">
        <v>145</v>
      </c>
      <c r="C610" s="107" t="s">
        <v>32</v>
      </c>
      <c r="D610" s="108">
        <f>SUM(D611:D632)-D615</f>
        <v>80531</v>
      </c>
      <c r="E610" s="108">
        <f>SUM(E611:E632)-E615</f>
        <v>15172</v>
      </c>
      <c r="F610" s="108">
        <f>SUM(F611:F632)-F615</f>
        <v>95703</v>
      </c>
      <c r="G610" s="92"/>
    </row>
    <row r="611" spans="1:7" ht="13.15" customHeight="1" x14ac:dyDescent="0.2">
      <c r="A611" s="109" t="s">
        <v>446</v>
      </c>
      <c r="B611" s="87" t="s">
        <v>146</v>
      </c>
      <c r="C611" s="87" t="s">
        <v>147</v>
      </c>
      <c r="D611" s="110">
        <v>1600</v>
      </c>
      <c r="E611" s="110"/>
      <c r="F611" s="110">
        <f>SUM(D611:E611)</f>
        <v>1600</v>
      </c>
      <c r="G611" s="92"/>
    </row>
    <row r="612" spans="1:7" ht="13.15" customHeight="1" x14ac:dyDescent="0.2">
      <c r="A612" s="109" t="s">
        <v>446</v>
      </c>
      <c r="B612" s="87" t="s">
        <v>148</v>
      </c>
      <c r="C612" s="87" t="s">
        <v>149</v>
      </c>
      <c r="D612" s="110"/>
      <c r="E612" s="110"/>
      <c r="F612" s="110">
        <f>SUM(D612:E612)</f>
        <v>0</v>
      </c>
      <c r="G612" s="92"/>
    </row>
    <row r="613" spans="1:7" ht="13.15" customHeight="1" x14ac:dyDescent="0.2">
      <c r="A613" s="109" t="s">
        <v>446</v>
      </c>
      <c r="B613" s="87" t="s">
        <v>150</v>
      </c>
      <c r="C613" s="87" t="s">
        <v>151</v>
      </c>
      <c r="D613" s="110">
        <v>2840</v>
      </c>
      <c r="E613" s="110">
        <v>3000</v>
      </c>
      <c r="F613" s="110">
        <f>SUM(D613:E613)</f>
        <v>5840</v>
      </c>
      <c r="G613" s="92" t="s">
        <v>448</v>
      </c>
    </row>
    <row r="614" spans="1:7" ht="13.15" customHeight="1" x14ac:dyDescent="0.2">
      <c r="A614" s="109" t="s">
        <v>446</v>
      </c>
      <c r="B614" s="87" t="s">
        <v>437</v>
      </c>
      <c r="C614" s="87" t="s">
        <v>438</v>
      </c>
      <c r="D614" s="110"/>
      <c r="E614" s="110"/>
      <c r="F614" s="110">
        <f>SUM(D614:E614)</f>
        <v>0</v>
      </c>
      <c r="G614" s="92"/>
    </row>
    <row r="615" spans="1:7" ht="13.15" customHeight="1" x14ac:dyDescent="0.2">
      <c r="A615" s="111" t="s">
        <v>446</v>
      </c>
      <c r="B615" s="112" t="s">
        <v>176</v>
      </c>
      <c r="C615" s="112" t="s">
        <v>177</v>
      </c>
      <c r="D615" s="113">
        <f>SUM(D616:D624)</f>
        <v>58858</v>
      </c>
      <c r="E615" s="113">
        <f>SUM(E616:E624)</f>
        <v>10802</v>
      </c>
      <c r="F615" s="113">
        <f>SUM(F616:F624)</f>
        <v>69660</v>
      </c>
      <c r="G615" s="92"/>
    </row>
    <row r="616" spans="1:7" ht="13.15" customHeight="1" x14ac:dyDescent="0.2">
      <c r="A616" s="114" t="s">
        <v>446</v>
      </c>
      <c r="B616" s="115" t="s">
        <v>178</v>
      </c>
      <c r="C616" s="115" t="s">
        <v>179</v>
      </c>
      <c r="D616" s="116">
        <v>21843</v>
      </c>
      <c r="E616" s="116"/>
      <c r="F616" s="116">
        <f t="shared" ref="F616:F632" si="65">SUM(D616:E616)</f>
        <v>21843</v>
      </c>
      <c r="G616" s="92"/>
    </row>
    <row r="617" spans="1:7" ht="13.15" customHeight="1" x14ac:dyDescent="0.2">
      <c r="A617" s="114" t="s">
        <v>446</v>
      </c>
      <c r="B617" s="115" t="s">
        <v>180</v>
      </c>
      <c r="C617" s="115" t="s">
        <v>75</v>
      </c>
      <c r="D617" s="116">
        <v>12000</v>
      </c>
      <c r="E617" s="116"/>
      <c r="F617" s="116">
        <f t="shared" si="65"/>
        <v>12000</v>
      </c>
      <c r="G617" s="92"/>
    </row>
    <row r="618" spans="1:7" ht="13.15" customHeight="1" x14ac:dyDescent="0.2">
      <c r="A618" s="114" t="s">
        <v>446</v>
      </c>
      <c r="B618" s="115" t="s">
        <v>181</v>
      </c>
      <c r="C618" s="115" t="s">
        <v>182</v>
      </c>
      <c r="D618" s="116">
        <v>4128</v>
      </c>
      <c r="E618" s="116"/>
      <c r="F618" s="116">
        <f t="shared" si="65"/>
        <v>4128</v>
      </c>
      <c r="G618" s="92"/>
    </row>
    <row r="619" spans="1:7" ht="13.15" customHeight="1" x14ac:dyDescent="0.2">
      <c r="A619" s="114" t="s">
        <v>446</v>
      </c>
      <c r="B619" s="115" t="s">
        <v>183</v>
      </c>
      <c r="C619" s="115" t="s">
        <v>184</v>
      </c>
      <c r="D619" s="116">
        <v>4600</v>
      </c>
      <c r="E619" s="116"/>
      <c r="F619" s="116">
        <f t="shared" si="65"/>
        <v>4600</v>
      </c>
      <c r="G619" s="92"/>
    </row>
    <row r="620" spans="1:7" ht="13.15" customHeight="1" x14ac:dyDescent="0.2">
      <c r="A620" s="114" t="s">
        <v>446</v>
      </c>
      <c r="B620" s="115" t="s">
        <v>185</v>
      </c>
      <c r="C620" s="115" t="s">
        <v>186</v>
      </c>
      <c r="D620" s="116">
        <v>11300</v>
      </c>
      <c r="E620" s="116"/>
      <c r="F620" s="116">
        <f t="shared" si="65"/>
        <v>11300</v>
      </c>
      <c r="G620" s="92"/>
    </row>
    <row r="621" spans="1:7" ht="13.15" customHeight="1" x14ac:dyDescent="0.2">
      <c r="A621" s="114" t="s">
        <v>446</v>
      </c>
      <c r="B621" s="115" t="s">
        <v>187</v>
      </c>
      <c r="C621" s="115" t="s">
        <v>188</v>
      </c>
      <c r="D621" s="116">
        <v>1600</v>
      </c>
      <c r="E621" s="116"/>
      <c r="F621" s="116">
        <f t="shared" si="65"/>
        <v>1600</v>
      </c>
      <c r="G621" s="92"/>
    </row>
    <row r="622" spans="1:7" ht="13.15" customHeight="1" x14ac:dyDescent="0.2">
      <c r="A622" s="114" t="s">
        <v>446</v>
      </c>
      <c r="B622" s="115" t="s">
        <v>189</v>
      </c>
      <c r="C622" s="115" t="s">
        <v>190</v>
      </c>
      <c r="D622" s="116">
        <v>3000</v>
      </c>
      <c r="E622" s="116">
        <f>1702+700+8400</f>
        <v>10802</v>
      </c>
      <c r="F622" s="116">
        <f t="shared" si="65"/>
        <v>13802</v>
      </c>
      <c r="G622" s="92" t="s">
        <v>449</v>
      </c>
    </row>
    <row r="623" spans="1:7" ht="13.15" customHeight="1" x14ac:dyDescent="0.2">
      <c r="A623" s="114" t="s">
        <v>446</v>
      </c>
      <c r="B623" s="115" t="s">
        <v>191</v>
      </c>
      <c r="C623" s="115" t="s">
        <v>192</v>
      </c>
      <c r="D623" s="116">
        <v>387</v>
      </c>
      <c r="E623" s="116"/>
      <c r="F623" s="116">
        <f t="shared" si="65"/>
        <v>387</v>
      </c>
      <c r="G623" s="92"/>
    </row>
    <row r="624" spans="1:7" ht="13.15" customHeight="1" x14ac:dyDescent="0.2">
      <c r="A624" s="114" t="s">
        <v>446</v>
      </c>
      <c r="B624" s="115" t="s">
        <v>193</v>
      </c>
      <c r="C624" s="115" t="s">
        <v>194</v>
      </c>
      <c r="D624" s="116"/>
      <c r="E624" s="116"/>
      <c r="F624" s="116">
        <f t="shared" si="65"/>
        <v>0</v>
      </c>
      <c r="G624" s="92"/>
    </row>
    <row r="625" spans="1:7" ht="13.15" customHeight="1" x14ac:dyDescent="0.2">
      <c r="A625" s="109" t="s">
        <v>446</v>
      </c>
      <c r="B625" s="87" t="s">
        <v>152</v>
      </c>
      <c r="C625" s="87" t="s">
        <v>153</v>
      </c>
      <c r="D625" s="110">
        <v>120</v>
      </c>
      <c r="E625" s="110"/>
      <c r="F625" s="110">
        <f t="shared" si="65"/>
        <v>120</v>
      </c>
      <c r="G625" s="92"/>
    </row>
    <row r="626" spans="1:7" ht="13.15" customHeight="1" x14ac:dyDescent="0.2">
      <c r="A626" s="109" t="s">
        <v>446</v>
      </c>
      <c r="B626" s="87" t="s">
        <v>154</v>
      </c>
      <c r="C626" s="87" t="s">
        <v>155</v>
      </c>
      <c r="D626" s="110">
        <v>2000</v>
      </c>
      <c r="E626" s="110"/>
      <c r="F626" s="110">
        <f t="shared" si="65"/>
        <v>2000</v>
      </c>
      <c r="G626" s="92"/>
    </row>
    <row r="627" spans="1:7" ht="13.15" customHeight="1" x14ac:dyDescent="0.2">
      <c r="A627" s="109" t="s">
        <v>446</v>
      </c>
      <c r="B627" s="87" t="s">
        <v>156</v>
      </c>
      <c r="C627" s="87" t="s">
        <v>157</v>
      </c>
      <c r="D627" s="110">
        <v>3113</v>
      </c>
      <c r="E627" s="110"/>
      <c r="F627" s="110">
        <f t="shared" si="65"/>
        <v>3113</v>
      </c>
      <c r="G627" s="92"/>
    </row>
    <row r="628" spans="1:7" ht="13.15" customHeight="1" x14ac:dyDescent="0.2">
      <c r="A628" s="109" t="s">
        <v>446</v>
      </c>
      <c r="B628" s="87" t="s">
        <v>158</v>
      </c>
      <c r="C628" s="87" t="s">
        <v>159</v>
      </c>
      <c r="D628" s="110">
        <v>200</v>
      </c>
      <c r="E628" s="110"/>
      <c r="F628" s="110">
        <f t="shared" si="65"/>
        <v>200</v>
      </c>
      <c r="G628" s="92"/>
    </row>
    <row r="629" spans="1:7" ht="13.15" customHeight="1" x14ac:dyDescent="0.2">
      <c r="A629" s="109" t="s">
        <v>446</v>
      </c>
      <c r="B629" s="87" t="s">
        <v>381</v>
      </c>
      <c r="C629" s="87" t="s">
        <v>382</v>
      </c>
      <c r="D629" s="110">
        <v>9400</v>
      </c>
      <c r="E629" s="110"/>
      <c r="F629" s="110">
        <f t="shared" si="65"/>
        <v>9400</v>
      </c>
      <c r="G629" s="92"/>
    </row>
    <row r="630" spans="1:7" ht="13.15" customHeight="1" x14ac:dyDescent="0.2">
      <c r="A630" s="109" t="s">
        <v>450</v>
      </c>
      <c r="B630" s="87" t="s">
        <v>441</v>
      </c>
      <c r="C630" s="87" t="s">
        <v>442</v>
      </c>
      <c r="D630" s="110"/>
      <c r="E630" s="110">
        <v>1370</v>
      </c>
      <c r="F630" s="110">
        <f t="shared" si="65"/>
        <v>1370</v>
      </c>
      <c r="G630" s="92" t="s">
        <v>443</v>
      </c>
    </row>
    <row r="631" spans="1:7" ht="13.15" customHeight="1" x14ac:dyDescent="0.2">
      <c r="A631" s="109" t="s">
        <v>446</v>
      </c>
      <c r="B631" s="87" t="s">
        <v>195</v>
      </c>
      <c r="C631" s="87" t="s">
        <v>196</v>
      </c>
      <c r="D631" s="110">
        <v>2400</v>
      </c>
      <c r="E631" s="110"/>
      <c r="F631" s="110">
        <f t="shared" si="65"/>
        <v>2400</v>
      </c>
      <c r="G631" s="92"/>
    </row>
    <row r="632" spans="1:7" ht="13.15" customHeight="1" x14ac:dyDescent="0.2">
      <c r="A632" s="109" t="s">
        <v>446</v>
      </c>
      <c r="B632" s="87" t="s">
        <v>444</v>
      </c>
      <c r="C632" s="87" t="s">
        <v>445</v>
      </c>
      <c r="D632" s="110"/>
      <c r="E632" s="110"/>
      <c r="F632" s="110">
        <f t="shared" si="65"/>
        <v>0</v>
      </c>
      <c r="G632" s="92"/>
    </row>
    <row r="633" spans="1:7" ht="13.15" customHeight="1" x14ac:dyDescent="0.2">
      <c r="A633" s="103" t="s">
        <v>446</v>
      </c>
      <c r="B633" s="104" t="s">
        <v>201</v>
      </c>
      <c r="C633" s="104" t="s">
        <v>33</v>
      </c>
      <c r="D633" s="105"/>
      <c r="E633" s="105"/>
      <c r="F633" s="105"/>
      <c r="G633" s="92"/>
    </row>
    <row r="634" spans="1:7" ht="13.15" customHeight="1" x14ac:dyDescent="0.2">
      <c r="A634" s="106" t="s">
        <v>446</v>
      </c>
      <c r="B634" s="107" t="s">
        <v>202</v>
      </c>
      <c r="C634" s="107" t="s">
        <v>203</v>
      </c>
      <c r="D634" s="108"/>
      <c r="E634" s="108"/>
      <c r="F634" s="108"/>
      <c r="G634" s="92"/>
    </row>
    <row r="635" spans="1:7" ht="13.15" customHeight="1" x14ac:dyDescent="0.2">
      <c r="A635" s="109" t="s">
        <v>446</v>
      </c>
      <c r="B635" s="87" t="s">
        <v>204</v>
      </c>
      <c r="C635" s="87" t="s">
        <v>205</v>
      </c>
      <c r="D635" s="110"/>
      <c r="E635" s="110"/>
      <c r="F635" s="110">
        <f>SUM(D635:E635)</f>
        <v>0</v>
      </c>
      <c r="G635" s="92"/>
    </row>
    <row r="636" spans="1:7" ht="13.15" customHeight="1" x14ac:dyDescent="0.2">
      <c r="A636" s="109" t="s">
        <v>446</v>
      </c>
      <c r="B636" s="87" t="s">
        <v>451</v>
      </c>
      <c r="C636" s="87" t="s">
        <v>452</v>
      </c>
      <c r="D636" s="110"/>
      <c r="E636" s="110"/>
      <c r="F636" s="110">
        <f>SUM(D636:E636)</f>
        <v>0</v>
      </c>
      <c r="G636" s="92"/>
    </row>
    <row r="637" spans="1:7" ht="13.15" customHeight="1" x14ac:dyDescent="0.2">
      <c r="A637" s="100" t="s">
        <v>450</v>
      </c>
      <c r="B637" s="101"/>
      <c r="C637" s="101" t="s">
        <v>453</v>
      </c>
      <c r="D637" s="102">
        <f>D638+D641</f>
        <v>701517.11499999999</v>
      </c>
      <c r="E637" s="102">
        <f>E638+E641</f>
        <v>18934</v>
      </c>
      <c r="F637" s="102">
        <f>F638+F641</f>
        <v>720451.11499999999</v>
      </c>
      <c r="G637" s="92"/>
    </row>
    <row r="638" spans="1:7" ht="13.15" customHeight="1" x14ac:dyDescent="0.2">
      <c r="A638" s="103" t="s">
        <v>450</v>
      </c>
      <c r="B638" s="104" t="s">
        <v>127</v>
      </c>
      <c r="C638" s="104" t="s">
        <v>128</v>
      </c>
      <c r="D638" s="105">
        <f t="shared" ref="D638:F639" si="66">D639</f>
        <v>0</v>
      </c>
      <c r="E638" s="105">
        <f t="shared" si="66"/>
        <v>47550</v>
      </c>
      <c r="F638" s="105">
        <f t="shared" si="66"/>
        <v>47550</v>
      </c>
      <c r="G638" s="92"/>
    </row>
    <row r="639" spans="1:7" ht="13.15" customHeight="1" x14ac:dyDescent="0.2">
      <c r="A639" s="106" t="s">
        <v>450</v>
      </c>
      <c r="B639" s="107" t="s">
        <v>129</v>
      </c>
      <c r="C639" s="107" t="s">
        <v>130</v>
      </c>
      <c r="D639" s="108">
        <f t="shared" si="66"/>
        <v>0</v>
      </c>
      <c r="E639" s="108">
        <f t="shared" si="66"/>
        <v>47550</v>
      </c>
      <c r="F639" s="108">
        <f t="shared" si="66"/>
        <v>47550</v>
      </c>
      <c r="G639" s="92"/>
    </row>
    <row r="640" spans="1:7" ht="13.15" customHeight="1" x14ac:dyDescent="0.2">
      <c r="A640" s="109" t="s">
        <v>450</v>
      </c>
      <c r="B640" s="87" t="s">
        <v>163</v>
      </c>
      <c r="C640" s="87" t="s">
        <v>164</v>
      </c>
      <c r="D640" s="110">
        <v>0</v>
      </c>
      <c r="E640" s="110">
        <f>750+29800+6500+10500</f>
        <v>47550</v>
      </c>
      <c r="F640" s="110">
        <f>SUM(D640:E640)</f>
        <v>47550</v>
      </c>
      <c r="G640" s="92" t="s">
        <v>454</v>
      </c>
    </row>
    <row r="641" spans="1:7" ht="13.15" customHeight="1" x14ac:dyDescent="0.2">
      <c r="A641" s="103" t="s">
        <v>450</v>
      </c>
      <c r="B641" s="104" t="s">
        <v>133</v>
      </c>
      <c r="C641" s="104" t="s">
        <v>134</v>
      </c>
      <c r="D641" s="105">
        <f>D642+D646</f>
        <v>701517.11499999999</v>
      </c>
      <c r="E641" s="105">
        <f>E642+E646</f>
        <v>-28616</v>
      </c>
      <c r="F641" s="105">
        <f>F642+F646</f>
        <v>672901.11499999999</v>
      </c>
      <c r="G641" s="92"/>
    </row>
    <row r="642" spans="1:7" ht="13.15" customHeight="1" x14ac:dyDescent="0.2">
      <c r="A642" s="106" t="s">
        <v>450</v>
      </c>
      <c r="B642" s="107" t="s">
        <v>135</v>
      </c>
      <c r="C642" s="107" t="s">
        <v>31</v>
      </c>
      <c r="D642" s="108">
        <f>SUM(D643:D645)</f>
        <v>620718.11499999999</v>
      </c>
      <c r="E642" s="108">
        <f>SUM(E643:E645)</f>
        <v>-45761</v>
      </c>
      <c r="F642" s="108">
        <f>SUM(F643:F645)</f>
        <v>574957.11499999999</v>
      </c>
      <c r="G642" s="92"/>
    </row>
    <row r="643" spans="1:7" ht="13.15" customHeight="1" x14ac:dyDescent="0.2">
      <c r="A643" s="109" t="s">
        <v>450</v>
      </c>
      <c r="B643" s="87" t="s">
        <v>138</v>
      </c>
      <c r="C643" s="87" t="s">
        <v>139</v>
      </c>
      <c r="D643" s="110">
        <v>465655</v>
      </c>
      <c r="E643" s="110">
        <f>-43415+7474</f>
        <v>-35941</v>
      </c>
      <c r="F643" s="110">
        <f>SUM(D643:E643)</f>
        <v>429714</v>
      </c>
      <c r="G643" s="92" t="s">
        <v>436</v>
      </c>
    </row>
    <row r="644" spans="1:7" ht="13.15" customHeight="1" x14ac:dyDescent="0.2">
      <c r="A644" s="109" t="s">
        <v>450</v>
      </c>
      <c r="B644" s="87" t="s">
        <v>174</v>
      </c>
      <c r="C644" s="87" t="s">
        <v>175</v>
      </c>
      <c r="D644" s="110">
        <v>0</v>
      </c>
      <c r="E644" s="110"/>
      <c r="F644" s="110">
        <f>SUM(D644:E644)</f>
        <v>0</v>
      </c>
      <c r="G644" s="92"/>
    </row>
    <row r="645" spans="1:7" ht="13.15" customHeight="1" x14ac:dyDescent="0.2">
      <c r="A645" s="109" t="s">
        <v>450</v>
      </c>
      <c r="B645" s="87" t="s">
        <v>142</v>
      </c>
      <c r="C645" s="87" t="s">
        <v>143</v>
      </c>
      <c r="D645" s="110">
        <f>D643*0.333</f>
        <v>155063.11500000002</v>
      </c>
      <c r="E645" s="110">
        <f>-12346+2526</f>
        <v>-9820</v>
      </c>
      <c r="F645" s="110">
        <f>SUM(D645:E645)</f>
        <v>145243.11500000002</v>
      </c>
      <c r="G645" s="89" t="s">
        <v>144</v>
      </c>
    </row>
    <row r="646" spans="1:7" ht="13.15" customHeight="1" x14ac:dyDescent="0.2">
      <c r="A646" s="106" t="s">
        <v>450</v>
      </c>
      <c r="B646" s="107" t="s">
        <v>145</v>
      </c>
      <c r="C646" s="107" t="s">
        <v>32</v>
      </c>
      <c r="D646" s="108">
        <f>SUM(D647:D668)-D651</f>
        <v>80799</v>
      </c>
      <c r="E646" s="108">
        <f>SUM(E647:E668)-E651</f>
        <v>17145</v>
      </c>
      <c r="F646" s="108">
        <f>SUM(F647:F668)-F651</f>
        <v>97944</v>
      </c>
      <c r="G646" s="92"/>
    </row>
    <row r="647" spans="1:7" ht="13.15" customHeight="1" x14ac:dyDescent="0.2">
      <c r="A647" s="109" t="s">
        <v>450</v>
      </c>
      <c r="B647" s="87" t="s">
        <v>146</v>
      </c>
      <c r="C647" s="87" t="s">
        <v>147</v>
      </c>
      <c r="D647" s="110">
        <v>2600</v>
      </c>
      <c r="E647" s="110"/>
      <c r="F647" s="110">
        <f>SUM(D647:E647)</f>
        <v>2600</v>
      </c>
      <c r="G647" s="92"/>
    </row>
    <row r="648" spans="1:7" ht="13.15" customHeight="1" x14ac:dyDescent="0.2">
      <c r="A648" s="109" t="s">
        <v>450</v>
      </c>
      <c r="B648" s="87" t="s">
        <v>148</v>
      </c>
      <c r="C648" s="87" t="s">
        <v>149</v>
      </c>
      <c r="D648" s="110">
        <v>200</v>
      </c>
      <c r="E648" s="110"/>
      <c r="F648" s="110">
        <f>SUM(D648:E648)</f>
        <v>200</v>
      </c>
      <c r="G648" s="92"/>
    </row>
    <row r="649" spans="1:7" ht="13.15" customHeight="1" x14ac:dyDescent="0.2">
      <c r="A649" s="109" t="s">
        <v>450</v>
      </c>
      <c r="B649" s="87" t="s">
        <v>150</v>
      </c>
      <c r="C649" s="87" t="s">
        <v>151</v>
      </c>
      <c r="D649" s="110">
        <v>4000</v>
      </c>
      <c r="E649" s="110"/>
      <c r="F649" s="110">
        <f>SUM(D649:E649)</f>
        <v>4000</v>
      </c>
      <c r="G649" s="92"/>
    </row>
    <row r="650" spans="1:7" ht="13.15" customHeight="1" x14ac:dyDescent="0.2">
      <c r="A650" s="109" t="s">
        <v>450</v>
      </c>
      <c r="B650" s="87" t="s">
        <v>437</v>
      </c>
      <c r="C650" s="87" t="s">
        <v>438</v>
      </c>
      <c r="D650" s="110"/>
      <c r="E650" s="110"/>
      <c r="F650" s="110">
        <f>SUM(D650:E650)</f>
        <v>0</v>
      </c>
      <c r="G650" s="92"/>
    </row>
    <row r="651" spans="1:7" ht="13.15" customHeight="1" x14ac:dyDescent="0.2">
      <c r="A651" s="111" t="s">
        <v>450</v>
      </c>
      <c r="B651" s="112" t="s">
        <v>176</v>
      </c>
      <c r="C651" s="112" t="s">
        <v>177</v>
      </c>
      <c r="D651" s="113">
        <f>SUM(D652:D660)</f>
        <v>50715</v>
      </c>
      <c r="E651" s="113">
        <f>SUM(E652:E660)</f>
        <v>14000</v>
      </c>
      <c r="F651" s="113">
        <f>SUM(F652:F660)</f>
        <v>64715</v>
      </c>
      <c r="G651" s="92"/>
    </row>
    <row r="652" spans="1:7" ht="13.15" customHeight="1" x14ac:dyDescent="0.2">
      <c r="A652" s="114" t="s">
        <v>450</v>
      </c>
      <c r="B652" s="115" t="s">
        <v>178</v>
      </c>
      <c r="C652" s="115" t="s">
        <v>179</v>
      </c>
      <c r="D652" s="116">
        <v>21800</v>
      </c>
      <c r="E652" s="116"/>
      <c r="F652" s="116">
        <f t="shared" ref="F652:F668" si="67">SUM(D652:E652)</f>
        <v>21800</v>
      </c>
      <c r="G652" s="92"/>
    </row>
    <row r="653" spans="1:7" ht="13.15" customHeight="1" x14ac:dyDescent="0.2">
      <c r="A653" s="114" t="s">
        <v>450</v>
      </c>
      <c r="B653" s="115" t="s">
        <v>180</v>
      </c>
      <c r="C653" s="115" t="s">
        <v>75</v>
      </c>
      <c r="D653" s="116">
        <v>12000</v>
      </c>
      <c r="E653" s="116"/>
      <c r="F653" s="116">
        <f t="shared" si="67"/>
        <v>12000</v>
      </c>
      <c r="G653" s="92"/>
    </row>
    <row r="654" spans="1:7" ht="13.15" customHeight="1" x14ac:dyDescent="0.2">
      <c r="A654" s="114" t="s">
        <v>450</v>
      </c>
      <c r="B654" s="115" t="s">
        <v>181</v>
      </c>
      <c r="C654" s="115" t="s">
        <v>182</v>
      </c>
      <c r="D654" s="116">
        <v>3900</v>
      </c>
      <c r="E654" s="116"/>
      <c r="F654" s="116">
        <f t="shared" si="67"/>
        <v>3900</v>
      </c>
      <c r="G654" s="92"/>
    </row>
    <row r="655" spans="1:7" ht="13.15" customHeight="1" x14ac:dyDescent="0.2">
      <c r="A655" s="114" t="s">
        <v>450</v>
      </c>
      <c r="B655" s="115" t="s">
        <v>183</v>
      </c>
      <c r="C655" s="115" t="s">
        <v>184</v>
      </c>
      <c r="D655" s="116">
        <v>5600</v>
      </c>
      <c r="E655" s="116"/>
      <c r="F655" s="116">
        <f t="shared" si="67"/>
        <v>5600</v>
      </c>
      <c r="G655" s="92"/>
    </row>
    <row r="656" spans="1:7" ht="13.15" customHeight="1" x14ac:dyDescent="0.2">
      <c r="A656" s="114" t="s">
        <v>450</v>
      </c>
      <c r="B656" s="115" t="s">
        <v>185</v>
      </c>
      <c r="C656" s="115" t="s">
        <v>186</v>
      </c>
      <c r="D656" s="116">
        <v>6300</v>
      </c>
      <c r="E656" s="116"/>
      <c r="F656" s="116">
        <f t="shared" si="67"/>
        <v>6300</v>
      </c>
      <c r="G656" s="92"/>
    </row>
    <row r="657" spans="1:7" ht="13.15" customHeight="1" x14ac:dyDescent="0.2">
      <c r="A657" s="114" t="s">
        <v>450</v>
      </c>
      <c r="B657" s="115" t="s">
        <v>187</v>
      </c>
      <c r="C657" s="115" t="s">
        <v>188</v>
      </c>
      <c r="D657" s="116">
        <v>500</v>
      </c>
      <c r="E657" s="116"/>
      <c r="F657" s="116">
        <f t="shared" si="67"/>
        <v>500</v>
      </c>
      <c r="G657" s="92"/>
    </row>
    <row r="658" spans="1:7" ht="13.15" customHeight="1" x14ac:dyDescent="0.2">
      <c r="A658" s="114" t="s">
        <v>450</v>
      </c>
      <c r="B658" s="115" t="s">
        <v>189</v>
      </c>
      <c r="C658" s="115" t="s">
        <v>190</v>
      </c>
      <c r="D658" s="116"/>
      <c r="E658" s="116">
        <v>14000</v>
      </c>
      <c r="F658" s="116">
        <f t="shared" si="67"/>
        <v>14000</v>
      </c>
      <c r="G658" s="92" t="s">
        <v>455</v>
      </c>
    </row>
    <row r="659" spans="1:7" ht="13.15" customHeight="1" x14ac:dyDescent="0.2">
      <c r="A659" s="114" t="s">
        <v>450</v>
      </c>
      <c r="B659" s="115" t="s">
        <v>191</v>
      </c>
      <c r="C659" s="115" t="s">
        <v>192</v>
      </c>
      <c r="D659" s="116">
        <v>415</v>
      </c>
      <c r="E659" s="116"/>
      <c r="F659" s="116">
        <f t="shared" si="67"/>
        <v>415</v>
      </c>
      <c r="G659" s="92"/>
    </row>
    <row r="660" spans="1:7" ht="13.15" customHeight="1" x14ac:dyDescent="0.2">
      <c r="A660" s="114" t="s">
        <v>450</v>
      </c>
      <c r="B660" s="115" t="s">
        <v>193</v>
      </c>
      <c r="C660" s="115" t="s">
        <v>194</v>
      </c>
      <c r="D660" s="116">
        <v>200</v>
      </c>
      <c r="E660" s="116"/>
      <c r="F660" s="116">
        <f t="shared" si="67"/>
        <v>200</v>
      </c>
      <c r="G660" s="92"/>
    </row>
    <row r="661" spans="1:7" ht="13.15" customHeight="1" x14ac:dyDescent="0.2">
      <c r="A661" s="109" t="s">
        <v>450</v>
      </c>
      <c r="B661" s="87" t="s">
        <v>152</v>
      </c>
      <c r="C661" s="87" t="s">
        <v>153</v>
      </c>
      <c r="D661" s="110">
        <v>600</v>
      </c>
      <c r="E661" s="110"/>
      <c r="F661" s="110">
        <f t="shared" si="67"/>
        <v>600</v>
      </c>
      <c r="G661" s="92"/>
    </row>
    <row r="662" spans="1:7" ht="13.15" customHeight="1" x14ac:dyDescent="0.2">
      <c r="A662" s="109" t="s">
        <v>450</v>
      </c>
      <c r="B662" s="87" t="s">
        <v>154</v>
      </c>
      <c r="C662" s="87" t="s">
        <v>155</v>
      </c>
      <c r="D662" s="110">
        <v>2300</v>
      </c>
      <c r="E662" s="110">
        <v>1750</v>
      </c>
      <c r="F662" s="110">
        <f t="shared" si="67"/>
        <v>4050</v>
      </c>
      <c r="G662" s="92" t="s">
        <v>456</v>
      </c>
    </row>
    <row r="663" spans="1:7" ht="13.15" customHeight="1" x14ac:dyDescent="0.2">
      <c r="A663" s="109" t="s">
        <v>450</v>
      </c>
      <c r="B663" s="87" t="s">
        <v>156</v>
      </c>
      <c r="C663" s="87" t="s">
        <v>157</v>
      </c>
      <c r="D663" s="110">
        <v>6000</v>
      </c>
      <c r="E663" s="110"/>
      <c r="F663" s="110">
        <f t="shared" si="67"/>
        <v>6000</v>
      </c>
      <c r="G663" s="92"/>
    </row>
    <row r="664" spans="1:7" ht="13.15" customHeight="1" x14ac:dyDescent="0.2">
      <c r="A664" s="109" t="s">
        <v>450</v>
      </c>
      <c r="B664" s="87" t="s">
        <v>158</v>
      </c>
      <c r="C664" s="87" t="s">
        <v>159</v>
      </c>
      <c r="D664" s="110">
        <v>350</v>
      </c>
      <c r="E664" s="110"/>
      <c r="F664" s="110">
        <f t="shared" si="67"/>
        <v>350</v>
      </c>
      <c r="G664" s="92"/>
    </row>
    <row r="665" spans="1:7" ht="13.15" customHeight="1" x14ac:dyDescent="0.2">
      <c r="A665" s="109" t="s">
        <v>450</v>
      </c>
      <c r="B665" s="87" t="s">
        <v>381</v>
      </c>
      <c r="C665" s="87" t="s">
        <v>382</v>
      </c>
      <c r="D665" s="110">
        <v>14034</v>
      </c>
      <c r="E665" s="110"/>
      <c r="F665" s="110">
        <f t="shared" si="67"/>
        <v>14034</v>
      </c>
      <c r="G665" s="92"/>
    </row>
    <row r="666" spans="1:7" ht="13.15" customHeight="1" x14ac:dyDescent="0.2">
      <c r="A666" s="109" t="s">
        <v>450</v>
      </c>
      <c r="B666" s="87" t="s">
        <v>441</v>
      </c>
      <c r="C666" s="87" t="s">
        <v>442</v>
      </c>
      <c r="D666" s="110"/>
      <c r="E666" s="110">
        <v>1395</v>
      </c>
      <c r="F666" s="110">
        <f t="shared" si="67"/>
        <v>1395</v>
      </c>
      <c r="G666" s="92"/>
    </row>
    <row r="667" spans="1:7" ht="13.15" customHeight="1" x14ac:dyDescent="0.2">
      <c r="A667" s="109" t="s">
        <v>450</v>
      </c>
      <c r="B667" s="87" t="s">
        <v>195</v>
      </c>
      <c r="C667" s="87" t="s">
        <v>196</v>
      </c>
      <c r="D667" s="110"/>
      <c r="E667" s="110"/>
      <c r="F667" s="110">
        <f t="shared" si="67"/>
        <v>0</v>
      </c>
      <c r="G667" s="92"/>
    </row>
    <row r="668" spans="1:7" ht="13.15" customHeight="1" x14ac:dyDescent="0.2">
      <c r="A668" s="109" t="s">
        <v>450</v>
      </c>
      <c r="B668" s="87" t="s">
        <v>444</v>
      </c>
      <c r="C668" s="87" t="s">
        <v>445</v>
      </c>
      <c r="D668" s="110"/>
      <c r="E668" s="110"/>
      <c r="F668" s="110">
        <f t="shared" si="67"/>
        <v>0</v>
      </c>
      <c r="G668" s="92"/>
    </row>
    <row r="669" spans="1:7" ht="13.15" customHeight="1" x14ac:dyDescent="0.2">
      <c r="A669" s="100" t="s">
        <v>457</v>
      </c>
      <c r="B669" s="101"/>
      <c r="C669" s="101" t="s">
        <v>458</v>
      </c>
      <c r="D669" s="102">
        <f>D670+D672</f>
        <v>211632</v>
      </c>
      <c r="E669" s="102">
        <f>E670+E672</f>
        <v>500</v>
      </c>
      <c r="F669" s="102">
        <f>F670+F672</f>
        <v>212132</v>
      </c>
      <c r="G669" s="89"/>
    </row>
    <row r="670" spans="1:7" ht="13.15" customHeight="1" x14ac:dyDescent="0.2">
      <c r="A670" s="103" t="s">
        <v>457</v>
      </c>
      <c r="B670" s="104" t="s">
        <v>133</v>
      </c>
      <c r="C670" s="104" t="s">
        <v>134</v>
      </c>
      <c r="D670" s="105">
        <f>D671</f>
        <v>211632</v>
      </c>
      <c r="E670" s="105">
        <f>E671</f>
        <v>500</v>
      </c>
      <c r="F670" s="105">
        <f>F671</f>
        <v>212132</v>
      </c>
      <c r="G670" s="92"/>
    </row>
    <row r="671" spans="1:7" ht="13.15" customHeight="1" x14ac:dyDescent="0.2">
      <c r="A671" s="106" t="s">
        <v>457</v>
      </c>
      <c r="B671" s="107" t="s">
        <v>145</v>
      </c>
      <c r="C671" s="107" t="s">
        <v>32</v>
      </c>
      <c r="D671" s="108">
        <f>D676</f>
        <v>211632</v>
      </c>
      <c r="E671" s="108">
        <f>E676</f>
        <v>500</v>
      </c>
      <c r="F671" s="108">
        <f>F676</f>
        <v>212132</v>
      </c>
      <c r="G671" s="92"/>
    </row>
    <row r="672" spans="1:7" ht="13.15" customHeight="1" x14ac:dyDescent="0.2">
      <c r="A672" s="103" t="s">
        <v>459</v>
      </c>
      <c r="B672" s="104" t="s">
        <v>166</v>
      </c>
      <c r="C672" s="104" t="s">
        <v>167</v>
      </c>
      <c r="D672" s="153">
        <f t="shared" ref="D672:F674" si="68">D673</f>
        <v>0</v>
      </c>
      <c r="E672" s="153">
        <f t="shared" si="68"/>
        <v>0</v>
      </c>
      <c r="F672" s="153">
        <f t="shared" si="68"/>
        <v>0</v>
      </c>
      <c r="G672" s="92"/>
    </row>
    <row r="673" spans="1:7" ht="13.15" customHeight="1" x14ac:dyDescent="0.2">
      <c r="A673" s="106" t="s">
        <v>459</v>
      </c>
      <c r="B673" s="107" t="s">
        <v>219</v>
      </c>
      <c r="C673" s="107" t="s">
        <v>220</v>
      </c>
      <c r="D673" s="154">
        <f t="shared" si="68"/>
        <v>0</v>
      </c>
      <c r="E673" s="154">
        <f t="shared" si="68"/>
        <v>0</v>
      </c>
      <c r="F673" s="154">
        <f t="shared" si="68"/>
        <v>0</v>
      </c>
      <c r="G673" s="92"/>
    </row>
    <row r="674" spans="1:7" ht="13.15" customHeight="1" x14ac:dyDescent="0.2">
      <c r="A674" s="109" t="s">
        <v>459</v>
      </c>
      <c r="B674" s="87" t="s">
        <v>221</v>
      </c>
      <c r="C674" s="87" t="s">
        <v>222</v>
      </c>
      <c r="D674" s="155">
        <f t="shared" si="68"/>
        <v>0</v>
      </c>
      <c r="E674" s="155">
        <f t="shared" si="68"/>
        <v>0</v>
      </c>
      <c r="F674" s="155">
        <f t="shared" si="68"/>
        <v>0</v>
      </c>
      <c r="G674" s="92"/>
    </row>
    <row r="675" spans="1:7" ht="13.15" customHeight="1" x14ac:dyDescent="0.2">
      <c r="A675" s="109" t="s">
        <v>459</v>
      </c>
      <c r="B675" s="87" t="s">
        <v>460</v>
      </c>
      <c r="C675" s="87" t="s">
        <v>233</v>
      </c>
      <c r="D675" s="155">
        <v>0</v>
      </c>
      <c r="E675" s="155">
        <v>0</v>
      </c>
      <c r="F675" s="110">
        <f>SUM(D675:E675)</f>
        <v>0</v>
      </c>
      <c r="G675" s="92"/>
    </row>
    <row r="676" spans="1:7" ht="13.15" customHeight="1" x14ac:dyDescent="0.2">
      <c r="A676" s="109" t="s">
        <v>457</v>
      </c>
      <c r="B676" s="87" t="s">
        <v>381</v>
      </c>
      <c r="C676" s="87" t="s">
        <v>382</v>
      </c>
      <c r="D676" s="110">
        <v>211632</v>
      </c>
      <c r="E676" s="110">
        <v>500</v>
      </c>
      <c r="F676" s="110">
        <f>SUM(D676:E676)</f>
        <v>212132</v>
      </c>
      <c r="G676" s="92" t="s">
        <v>461</v>
      </c>
    </row>
    <row r="677" spans="1:7" ht="13.15" customHeight="1" x14ac:dyDescent="0.2">
      <c r="A677" s="100" t="s">
        <v>462</v>
      </c>
      <c r="B677" s="101"/>
      <c r="C677" s="101" t="s">
        <v>463</v>
      </c>
      <c r="D677" s="102">
        <f t="shared" ref="D677:F679" si="69">D678</f>
        <v>77772</v>
      </c>
      <c r="E677" s="102">
        <f t="shared" si="69"/>
        <v>2000</v>
      </c>
      <c r="F677" s="102">
        <f t="shared" si="69"/>
        <v>79772</v>
      </c>
      <c r="G677" s="89"/>
    </row>
    <row r="678" spans="1:7" ht="13.15" customHeight="1" x14ac:dyDescent="0.2">
      <c r="A678" s="103" t="s">
        <v>462</v>
      </c>
      <c r="B678" s="104" t="s">
        <v>133</v>
      </c>
      <c r="C678" s="104" t="s">
        <v>134</v>
      </c>
      <c r="D678" s="105">
        <f t="shared" si="69"/>
        <v>77772</v>
      </c>
      <c r="E678" s="105">
        <f t="shared" si="69"/>
        <v>2000</v>
      </c>
      <c r="F678" s="105">
        <f t="shared" si="69"/>
        <v>79772</v>
      </c>
      <c r="G678" s="92"/>
    </row>
    <row r="679" spans="1:7" ht="13.15" customHeight="1" x14ac:dyDescent="0.2">
      <c r="A679" s="106" t="s">
        <v>462</v>
      </c>
      <c r="B679" s="107" t="s">
        <v>145</v>
      </c>
      <c r="C679" s="107" t="s">
        <v>32</v>
      </c>
      <c r="D679" s="108">
        <f t="shared" si="69"/>
        <v>77772</v>
      </c>
      <c r="E679" s="108">
        <f t="shared" si="69"/>
        <v>2000</v>
      </c>
      <c r="F679" s="108">
        <f t="shared" si="69"/>
        <v>79772</v>
      </c>
      <c r="G679" s="92"/>
    </row>
    <row r="680" spans="1:7" ht="13.15" customHeight="1" x14ac:dyDescent="0.2">
      <c r="A680" s="109" t="s">
        <v>462</v>
      </c>
      <c r="B680" s="87" t="s">
        <v>381</v>
      </c>
      <c r="C680" s="87" t="s">
        <v>382</v>
      </c>
      <c r="D680" s="110">
        <v>77772</v>
      </c>
      <c r="E680" s="110">
        <v>2000</v>
      </c>
      <c r="F680" s="110">
        <f>SUM(D680:E680)</f>
        <v>79772</v>
      </c>
      <c r="G680" s="156" t="s">
        <v>464</v>
      </c>
    </row>
    <row r="681" spans="1:7" ht="13.15" customHeight="1" x14ac:dyDescent="0.2">
      <c r="A681" s="100" t="s">
        <v>459</v>
      </c>
      <c r="B681" s="101"/>
      <c r="C681" s="101" t="s">
        <v>465</v>
      </c>
      <c r="D681" s="102">
        <f>D686</f>
        <v>200640</v>
      </c>
      <c r="E681" s="102">
        <f>E686+E682</f>
        <v>52040</v>
      </c>
      <c r="F681" s="102">
        <f>F686+F682</f>
        <v>252680</v>
      </c>
      <c r="G681" s="89"/>
    </row>
    <row r="682" spans="1:7" ht="13.15" customHeight="1" x14ac:dyDescent="0.2">
      <c r="A682" s="103" t="s">
        <v>459</v>
      </c>
      <c r="B682" s="104" t="s">
        <v>166</v>
      </c>
      <c r="C682" s="104" t="s">
        <v>167</v>
      </c>
      <c r="D682" s="153">
        <f t="shared" ref="D682:F684" si="70">D683</f>
        <v>0</v>
      </c>
      <c r="E682" s="153">
        <f t="shared" si="70"/>
        <v>52040</v>
      </c>
      <c r="F682" s="153">
        <f t="shared" si="70"/>
        <v>52040</v>
      </c>
      <c r="G682" s="92"/>
    </row>
    <row r="683" spans="1:7" ht="13.15" customHeight="1" x14ac:dyDescent="0.2">
      <c r="A683" s="106" t="s">
        <v>459</v>
      </c>
      <c r="B683" s="107" t="s">
        <v>219</v>
      </c>
      <c r="C683" s="107" t="s">
        <v>220</v>
      </c>
      <c r="D683" s="154">
        <f t="shared" si="70"/>
        <v>0</v>
      </c>
      <c r="E683" s="154">
        <f t="shared" si="70"/>
        <v>52040</v>
      </c>
      <c r="F683" s="154">
        <f t="shared" si="70"/>
        <v>52040</v>
      </c>
      <c r="G683" s="92"/>
    </row>
    <row r="684" spans="1:7" ht="13.15" customHeight="1" x14ac:dyDescent="0.2">
      <c r="A684" s="109" t="s">
        <v>459</v>
      </c>
      <c r="B684" s="87" t="s">
        <v>221</v>
      </c>
      <c r="C684" s="87" t="s">
        <v>222</v>
      </c>
      <c r="D684" s="155">
        <f t="shared" si="70"/>
        <v>0</v>
      </c>
      <c r="E684" s="155">
        <f t="shared" si="70"/>
        <v>52040</v>
      </c>
      <c r="F684" s="155">
        <f t="shared" si="70"/>
        <v>52040</v>
      </c>
      <c r="G684" s="92"/>
    </row>
    <row r="685" spans="1:7" ht="13.15" customHeight="1" x14ac:dyDescent="0.2">
      <c r="A685" s="109" t="s">
        <v>459</v>
      </c>
      <c r="B685" s="87" t="s">
        <v>460</v>
      </c>
      <c r="C685" s="87" t="s">
        <v>233</v>
      </c>
      <c r="D685" s="110">
        <v>0</v>
      </c>
      <c r="E685" s="110">
        <v>52040</v>
      </c>
      <c r="F685" s="110">
        <f>SUM(D685:E685)</f>
        <v>52040</v>
      </c>
      <c r="G685" s="92" t="s">
        <v>466</v>
      </c>
    </row>
    <row r="686" spans="1:7" ht="13.15" customHeight="1" x14ac:dyDescent="0.2">
      <c r="A686" s="103" t="s">
        <v>459</v>
      </c>
      <c r="B686" s="104" t="s">
        <v>133</v>
      </c>
      <c r="C686" s="104" t="s">
        <v>134</v>
      </c>
      <c r="D686" s="105">
        <f t="shared" ref="D686:F687" si="71">D687</f>
        <v>200640</v>
      </c>
      <c r="E686" s="105">
        <f t="shared" si="71"/>
        <v>0</v>
      </c>
      <c r="F686" s="105">
        <f t="shared" si="71"/>
        <v>200640</v>
      </c>
      <c r="G686" s="92"/>
    </row>
    <row r="687" spans="1:7" ht="13.15" customHeight="1" x14ac:dyDescent="0.2">
      <c r="A687" s="106" t="s">
        <v>459</v>
      </c>
      <c r="B687" s="107" t="s">
        <v>145</v>
      </c>
      <c r="C687" s="107" t="s">
        <v>32</v>
      </c>
      <c r="D687" s="108">
        <f t="shared" si="71"/>
        <v>200640</v>
      </c>
      <c r="E687" s="108">
        <f t="shared" si="71"/>
        <v>0</v>
      </c>
      <c r="F687" s="108">
        <f t="shared" si="71"/>
        <v>200640</v>
      </c>
      <c r="G687" s="92"/>
    </row>
    <row r="688" spans="1:7" ht="13.15" customHeight="1" x14ac:dyDescent="0.2">
      <c r="A688" s="109" t="s">
        <v>459</v>
      </c>
      <c r="B688" s="87" t="s">
        <v>381</v>
      </c>
      <c r="C688" s="87" t="s">
        <v>382</v>
      </c>
      <c r="D688" s="110">
        <v>200640</v>
      </c>
      <c r="E688" s="110"/>
      <c r="F688" s="110">
        <f>SUM(D688:E688)</f>
        <v>200640</v>
      </c>
      <c r="G688" s="92"/>
    </row>
    <row r="689" spans="1:7" ht="13.15" customHeight="1" x14ac:dyDescent="0.2">
      <c r="A689" s="100" t="s">
        <v>99</v>
      </c>
      <c r="B689" s="101"/>
      <c r="C689" s="101" t="s">
        <v>467</v>
      </c>
      <c r="D689" s="102">
        <v>0</v>
      </c>
      <c r="E689" s="102">
        <v>0</v>
      </c>
      <c r="F689" s="102">
        <v>0</v>
      </c>
      <c r="G689" s="89"/>
    </row>
    <row r="690" spans="1:7" ht="13.15" customHeight="1" x14ac:dyDescent="0.2">
      <c r="A690" s="103" t="s">
        <v>99</v>
      </c>
      <c r="B690" s="104" t="s">
        <v>133</v>
      </c>
      <c r="C690" s="104" t="s">
        <v>134</v>
      </c>
      <c r="D690" s="105">
        <v>0</v>
      </c>
      <c r="E690" s="105">
        <v>0</v>
      </c>
      <c r="F690" s="105">
        <v>0</v>
      </c>
      <c r="G690" s="92"/>
    </row>
    <row r="691" spans="1:7" ht="13.15" customHeight="1" x14ac:dyDescent="0.2">
      <c r="A691" s="106" t="s">
        <v>99</v>
      </c>
      <c r="B691" s="107" t="s">
        <v>145</v>
      </c>
      <c r="C691" s="107" t="s">
        <v>32</v>
      </c>
      <c r="D691" s="108">
        <v>0</v>
      </c>
      <c r="E691" s="108">
        <v>0</v>
      </c>
      <c r="F691" s="108">
        <v>0</v>
      </c>
      <c r="G691" s="89"/>
    </row>
    <row r="692" spans="1:7" ht="13.15" customHeight="1" x14ac:dyDescent="0.2">
      <c r="A692" s="109" t="s">
        <v>99</v>
      </c>
      <c r="B692" s="87" t="s">
        <v>381</v>
      </c>
      <c r="C692" s="87" t="s">
        <v>382</v>
      </c>
      <c r="D692" s="110">
        <v>0</v>
      </c>
      <c r="E692" s="110"/>
      <c r="F692" s="110">
        <f>SUM(D692:E692)</f>
        <v>0</v>
      </c>
      <c r="G692" s="92"/>
    </row>
    <row r="693" spans="1:7" ht="13.15" customHeight="1" x14ac:dyDescent="0.2">
      <c r="A693" s="157" t="s">
        <v>468</v>
      </c>
      <c r="B693" s="158"/>
      <c r="C693" s="158" t="s">
        <v>469</v>
      </c>
      <c r="D693" s="159">
        <f>+D694+D722+D726+D735+D740</f>
        <v>628274.86699999997</v>
      </c>
      <c r="E693" s="159">
        <f>+E694+E722+E726+E735+E740</f>
        <v>144075</v>
      </c>
      <c r="F693" s="159">
        <f>+F694+F722+F726+F735+F740</f>
        <v>772349.86699999997</v>
      </c>
      <c r="G693" s="92"/>
    </row>
    <row r="694" spans="1:7" ht="13.15" customHeight="1" x14ac:dyDescent="0.2">
      <c r="A694" s="100" t="s">
        <v>470</v>
      </c>
      <c r="B694" s="101"/>
      <c r="C694" s="101" t="s">
        <v>471</v>
      </c>
      <c r="D694" s="102">
        <f>D695+D698</f>
        <v>242083.76699999999</v>
      </c>
      <c r="E694" s="102">
        <f t="shared" ref="E694:F694" si="72">E695+E698</f>
        <v>56396</v>
      </c>
      <c r="F694" s="102">
        <f t="shared" si="72"/>
        <v>298479.76699999999</v>
      </c>
      <c r="G694" s="160"/>
    </row>
    <row r="695" spans="1:7" ht="13.15" customHeight="1" x14ac:dyDescent="0.2">
      <c r="A695" s="103" t="s">
        <v>470</v>
      </c>
      <c r="B695" s="104" t="s">
        <v>127</v>
      </c>
      <c r="C695" s="104" t="s">
        <v>128</v>
      </c>
      <c r="D695" s="105">
        <f t="shared" ref="D695:F696" si="73">D696</f>
        <v>0</v>
      </c>
      <c r="E695" s="105">
        <f t="shared" si="73"/>
        <v>32304</v>
      </c>
      <c r="F695" s="105">
        <f t="shared" si="73"/>
        <v>32304</v>
      </c>
      <c r="G695" s="92"/>
    </row>
    <row r="696" spans="1:7" ht="13.15" customHeight="1" x14ac:dyDescent="0.2">
      <c r="A696" s="106" t="s">
        <v>470</v>
      </c>
      <c r="B696" s="107" t="s">
        <v>129</v>
      </c>
      <c r="C696" s="107" t="s">
        <v>130</v>
      </c>
      <c r="D696" s="108">
        <f t="shared" si="73"/>
        <v>0</v>
      </c>
      <c r="E696" s="108">
        <f t="shared" si="73"/>
        <v>32304</v>
      </c>
      <c r="F696" s="108">
        <f t="shared" si="73"/>
        <v>32304</v>
      </c>
      <c r="G696" s="92"/>
    </row>
    <row r="697" spans="1:7" ht="13.15" customHeight="1" x14ac:dyDescent="0.2">
      <c r="A697" s="109" t="s">
        <v>470</v>
      </c>
      <c r="B697" s="87" t="s">
        <v>163</v>
      </c>
      <c r="C697" s="87" t="s">
        <v>164</v>
      </c>
      <c r="D697" s="110">
        <v>0</v>
      </c>
      <c r="E697" s="110">
        <f>1304+23000+8000</f>
        <v>32304</v>
      </c>
      <c r="F697" s="110">
        <f>SUM(D697:E697)</f>
        <v>32304</v>
      </c>
      <c r="G697" s="92" t="s">
        <v>472</v>
      </c>
    </row>
    <row r="698" spans="1:7" ht="13.15" customHeight="1" x14ac:dyDescent="0.2">
      <c r="A698" s="103" t="s">
        <v>470</v>
      </c>
      <c r="B698" s="104" t="s">
        <v>133</v>
      </c>
      <c r="C698" s="104" t="s">
        <v>134</v>
      </c>
      <c r="D698" s="105">
        <f>+D699+D702</f>
        <v>242083.76699999999</v>
      </c>
      <c r="E698" s="105">
        <f>E699+E702</f>
        <v>24092</v>
      </c>
      <c r="F698" s="105">
        <f>F699+F702</f>
        <v>266175.76699999999</v>
      </c>
      <c r="G698" s="92"/>
    </row>
    <row r="699" spans="1:7" ht="13.15" customHeight="1" x14ac:dyDescent="0.2">
      <c r="A699" s="106" t="s">
        <v>470</v>
      </c>
      <c r="B699" s="107" t="s">
        <v>135</v>
      </c>
      <c r="C699" s="107" t="s">
        <v>31</v>
      </c>
      <c r="D699" s="108">
        <f>SUM(D700:D701)</f>
        <v>170222.76699999999</v>
      </c>
      <c r="E699" s="108">
        <f>SUM(E700:E701)</f>
        <v>-4039</v>
      </c>
      <c r="F699" s="108">
        <f>SUM(F700:F701)</f>
        <v>166183.76699999999</v>
      </c>
      <c r="G699" s="89"/>
    </row>
    <row r="700" spans="1:7" ht="13.15" customHeight="1" x14ac:dyDescent="0.2">
      <c r="A700" s="109" t="s">
        <v>470</v>
      </c>
      <c r="B700" s="87" t="s">
        <v>138</v>
      </c>
      <c r="C700" s="87" t="s">
        <v>139</v>
      </c>
      <c r="D700" s="110">
        <v>127699</v>
      </c>
      <c r="E700" s="110">
        <f>224-3720</f>
        <v>-3496</v>
      </c>
      <c r="F700" s="110">
        <f>SUM(D700:E700)</f>
        <v>124203</v>
      </c>
      <c r="G700" s="92" t="s">
        <v>473</v>
      </c>
    </row>
    <row r="701" spans="1:7" ht="13.15" customHeight="1" x14ac:dyDescent="0.2">
      <c r="A701" s="109" t="s">
        <v>470</v>
      </c>
      <c r="B701" s="87" t="s">
        <v>142</v>
      </c>
      <c r="C701" s="87" t="s">
        <v>143</v>
      </c>
      <c r="D701" s="110">
        <f>D700*0.333</f>
        <v>42523.767</v>
      </c>
      <c r="E701" s="110">
        <f>76-619</f>
        <v>-543</v>
      </c>
      <c r="F701" s="110">
        <f>SUM(D701:E701)</f>
        <v>41980.767</v>
      </c>
      <c r="G701" s="89" t="s">
        <v>144</v>
      </c>
    </row>
    <row r="702" spans="1:7" ht="13.15" customHeight="1" x14ac:dyDescent="0.2">
      <c r="A702" s="106" t="s">
        <v>470</v>
      </c>
      <c r="B702" s="107" t="s">
        <v>145</v>
      </c>
      <c r="C702" s="107" t="s">
        <v>32</v>
      </c>
      <c r="D702" s="108">
        <f>SUM(D703:D721)-D706</f>
        <v>71861</v>
      </c>
      <c r="E702" s="108">
        <f>SUM(E703:E721)-E706</f>
        <v>28131</v>
      </c>
      <c r="F702" s="108">
        <f>SUM(F703:F721)-F706</f>
        <v>99992</v>
      </c>
      <c r="G702" s="92"/>
    </row>
    <row r="703" spans="1:7" ht="13.15" customHeight="1" x14ac:dyDescent="0.2">
      <c r="A703" s="109" t="s">
        <v>470</v>
      </c>
      <c r="B703" s="87" t="s">
        <v>146</v>
      </c>
      <c r="C703" s="87" t="s">
        <v>147</v>
      </c>
      <c r="D703" s="110">
        <v>3600</v>
      </c>
      <c r="E703" s="110"/>
      <c r="F703" s="110">
        <f>SUM(D703:E703)</f>
        <v>3600</v>
      </c>
      <c r="G703" s="92"/>
    </row>
    <row r="704" spans="1:7" ht="13.15" customHeight="1" x14ac:dyDescent="0.2">
      <c r="A704" s="109" t="s">
        <v>470</v>
      </c>
      <c r="B704" s="87" t="s">
        <v>148</v>
      </c>
      <c r="C704" s="87" t="s">
        <v>149</v>
      </c>
      <c r="D704" s="110">
        <v>160</v>
      </c>
      <c r="E704" s="110"/>
      <c r="F704" s="110">
        <f>SUM(D704:E704)</f>
        <v>160</v>
      </c>
      <c r="G704" s="92"/>
    </row>
    <row r="705" spans="1:7" ht="13.15" customHeight="1" x14ac:dyDescent="0.2">
      <c r="A705" s="109" t="s">
        <v>470</v>
      </c>
      <c r="B705" s="87" t="s">
        <v>150</v>
      </c>
      <c r="C705" s="87" t="s">
        <v>151</v>
      </c>
      <c r="D705" s="110">
        <v>1400</v>
      </c>
      <c r="E705" s="110"/>
      <c r="F705" s="110">
        <f>SUM(D705:E705)</f>
        <v>1400</v>
      </c>
      <c r="G705" s="92"/>
    </row>
    <row r="706" spans="1:7" ht="13.15" customHeight="1" x14ac:dyDescent="0.2">
      <c r="A706" s="111" t="s">
        <v>470</v>
      </c>
      <c r="B706" s="112" t="s">
        <v>176</v>
      </c>
      <c r="C706" s="112" t="s">
        <v>177</v>
      </c>
      <c r="D706" s="113">
        <f>SUM(D707:D715)</f>
        <v>56301</v>
      </c>
      <c r="E706" s="113">
        <f>SUM(E707:E715)</f>
        <v>801</v>
      </c>
      <c r="F706" s="113">
        <f>SUM(F707:F715)</f>
        <v>57102</v>
      </c>
      <c r="G706" s="92"/>
    </row>
    <row r="707" spans="1:7" ht="13.15" customHeight="1" x14ac:dyDescent="0.2">
      <c r="A707" s="114" t="s">
        <v>470</v>
      </c>
      <c r="B707" s="115" t="s">
        <v>178</v>
      </c>
      <c r="C707" s="115" t="s">
        <v>179</v>
      </c>
      <c r="D707" s="116">
        <v>19024</v>
      </c>
      <c r="E707" s="116"/>
      <c r="F707" s="116">
        <f t="shared" ref="F707:F721" si="74">SUM(D707:E707)</f>
        <v>19024</v>
      </c>
      <c r="G707" s="92"/>
    </row>
    <row r="708" spans="1:7" ht="13.15" customHeight="1" x14ac:dyDescent="0.2">
      <c r="A708" s="114" t="s">
        <v>470</v>
      </c>
      <c r="B708" s="115" t="s">
        <v>180</v>
      </c>
      <c r="C708" s="115" t="s">
        <v>75</v>
      </c>
      <c r="D708" s="116">
        <v>7670</v>
      </c>
      <c r="E708" s="116"/>
      <c r="F708" s="116">
        <f t="shared" si="74"/>
        <v>7670</v>
      </c>
      <c r="G708" s="92"/>
    </row>
    <row r="709" spans="1:7" ht="13.15" customHeight="1" x14ac:dyDescent="0.2">
      <c r="A709" s="114" t="s">
        <v>470</v>
      </c>
      <c r="B709" s="115" t="s">
        <v>181</v>
      </c>
      <c r="C709" s="115" t="s">
        <v>182</v>
      </c>
      <c r="D709" s="116">
        <v>2193</v>
      </c>
      <c r="E709" s="116"/>
      <c r="F709" s="116">
        <f t="shared" si="74"/>
        <v>2193</v>
      </c>
      <c r="G709" s="92"/>
    </row>
    <row r="710" spans="1:7" ht="13.15" customHeight="1" x14ac:dyDescent="0.2">
      <c r="A710" s="114" t="s">
        <v>470</v>
      </c>
      <c r="B710" s="115" t="s">
        <v>183</v>
      </c>
      <c r="C710" s="115" t="s">
        <v>184</v>
      </c>
      <c r="D710" s="116">
        <v>3800</v>
      </c>
      <c r="E710" s="116"/>
      <c r="F710" s="116">
        <f t="shared" si="74"/>
        <v>3800</v>
      </c>
      <c r="G710" s="92"/>
    </row>
    <row r="711" spans="1:7" ht="13.15" customHeight="1" x14ac:dyDescent="0.2">
      <c r="A711" s="114" t="s">
        <v>470</v>
      </c>
      <c r="B711" s="115" t="s">
        <v>185</v>
      </c>
      <c r="C711" s="115" t="s">
        <v>186</v>
      </c>
      <c r="D711" s="116">
        <v>18737</v>
      </c>
      <c r="E711" s="116"/>
      <c r="F711" s="116">
        <f t="shared" si="74"/>
        <v>18737</v>
      </c>
      <c r="G711" s="92"/>
    </row>
    <row r="712" spans="1:7" ht="13.15" customHeight="1" x14ac:dyDescent="0.2">
      <c r="A712" s="114" t="s">
        <v>470</v>
      </c>
      <c r="B712" s="115" t="s">
        <v>187</v>
      </c>
      <c r="C712" s="115" t="s">
        <v>188</v>
      </c>
      <c r="D712" s="116">
        <v>1700</v>
      </c>
      <c r="E712" s="116"/>
      <c r="F712" s="116">
        <f t="shared" si="74"/>
        <v>1700</v>
      </c>
      <c r="G712" s="92"/>
    </row>
    <row r="713" spans="1:7" ht="13.15" customHeight="1" x14ac:dyDescent="0.2">
      <c r="A713" s="114" t="s">
        <v>470</v>
      </c>
      <c r="B713" s="115" t="s">
        <v>189</v>
      </c>
      <c r="C713" s="115" t="s">
        <v>190</v>
      </c>
      <c r="D713" s="116">
        <v>1000</v>
      </c>
      <c r="E713" s="116">
        <v>801</v>
      </c>
      <c r="F713" s="116">
        <f t="shared" si="74"/>
        <v>1801</v>
      </c>
      <c r="G713" s="92" t="s">
        <v>474</v>
      </c>
    </row>
    <row r="714" spans="1:7" ht="13.15" customHeight="1" x14ac:dyDescent="0.2">
      <c r="A714" s="114" t="s">
        <v>470</v>
      </c>
      <c r="B714" s="115" t="s">
        <v>191</v>
      </c>
      <c r="C714" s="115" t="s">
        <v>192</v>
      </c>
      <c r="D714" s="116">
        <v>477</v>
      </c>
      <c r="E714" s="116"/>
      <c r="F714" s="116">
        <f t="shared" si="74"/>
        <v>477</v>
      </c>
      <c r="G714" s="92"/>
    </row>
    <row r="715" spans="1:7" ht="13.15" customHeight="1" x14ac:dyDescent="0.2">
      <c r="A715" s="114" t="s">
        <v>470</v>
      </c>
      <c r="B715" s="115" t="s">
        <v>193</v>
      </c>
      <c r="C715" s="115" t="s">
        <v>194</v>
      </c>
      <c r="D715" s="116">
        <v>1700</v>
      </c>
      <c r="E715" s="116"/>
      <c r="F715" s="116">
        <f t="shared" si="74"/>
        <v>1700</v>
      </c>
      <c r="G715" s="92"/>
    </row>
    <row r="716" spans="1:7" ht="13.15" customHeight="1" x14ac:dyDescent="0.2">
      <c r="A716" s="109" t="s">
        <v>470</v>
      </c>
      <c r="B716" s="87" t="s">
        <v>154</v>
      </c>
      <c r="C716" s="87" t="s">
        <v>155</v>
      </c>
      <c r="D716" s="110">
        <v>5000</v>
      </c>
      <c r="E716" s="110">
        <f>20000+5000</f>
        <v>25000</v>
      </c>
      <c r="F716" s="110">
        <f t="shared" si="74"/>
        <v>30000</v>
      </c>
      <c r="G716" s="92" t="s">
        <v>475</v>
      </c>
    </row>
    <row r="717" spans="1:7" ht="13.15" customHeight="1" x14ac:dyDescent="0.2">
      <c r="A717" s="109" t="s">
        <v>470</v>
      </c>
      <c r="B717" s="87" t="s">
        <v>156</v>
      </c>
      <c r="C717" s="87" t="s">
        <v>157</v>
      </c>
      <c r="D717" s="110">
        <v>2600</v>
      </c>
      <c r="E717" s="110">
        <f>730+1600</f>
        <v>2330</v>
      </c>
      <c r="F717" s="110">
        <f t="shared" si="74"/>
        <v>4930</v>
      </c>
      <c r="G717" s="92" t="s">
        <v>476</v>
      </c>
    </row>
    <row r="718" spans="1:7" ht="13.15" customHeight="1" x14ac:dyDescent="0.2">
      <c r="A718" s="109" t="s">
        <v>470</v>
      </c>
      <c r="B718" s="87" t="s">
        <v>158</v>
      </c>
      <c r="C718" s="87" t="s">
        <v>159</v>
      </c>
      <c r="D718" s="110">
        <v>200</v>
      </c>
      <c r="E718" s="110"/>
      <c r="F718" s="110">
        <f t="shared" si="74"/>
        <v>200</v>
      </c>
      <c r="G718" s="92"/>
    </row>
    <row r="719" spans="1:7" ht="13.15" customHeight="1" x14ac:dyDescent="0.2">
      <c r="A719" s="109" t="s">
        <v>470</v>
      </c>
      <c r="B719" s="87" t="s">
        <v>381</v>
      </c>
      <c r="C719" s="87" t="s">
        <v>382</v>
      </c>
      <c r="D719" s="110">
        <v>1500</v>
      </c>
      <c r="E719" s="110"/>
      <c r="F719" s="110">
        <f t="shared" si="74"/>
        <v>1500</v>
      </c>
      <c r="G719" s="92"/>
    </row>
    <row r="720" spans="1:7" ht="13.15" customHeight="1" x14ac:dyDescent="0.2">
      <c r="A720" s="109" t="s">
        <v>470</v>
      </c>
      <c r="B720" s="87" t="s">
        <v>195</v>
      </c>
      <c r="C720" s="87" t="s">
        <v>196</v>
      </c>
      <c r="D720" s="110">
        <v>1100</v>
      </c>
      <c r="E720" s="110"/>
      <c r="F720" s="110">
        <f t="shared" si="74"/>
        <v>1100</v>
      </c>
      <c r="G720" s="92"/>
    </row>
    <row r="721" spans="1:7" ht="13.15" customHeight="1" x14ac:dyDescent="0.2">
      <c r="A721" s="109" t="s">
        <v>470</v>
      </c>
      <c r="B721" s="87" t="s">
        <v>199</v>
      </c>
      <c r="C721" s="87" t="s">
        <v>200</v>
      </c>
      <c r="D721" s="110"/>
      <c r="E721" s="110"/>
      <c r="F721" s="110">
        <f t="shared" si="74"/>
        <v>0</v>
      </c>
      <c r="G721" s="92"/>
    </row>
    <row r="722" spans="1:7" ht="13.15" customHeight="1" x14ac:dyDescent="0.2">
      <c r="A722" s="100" t="s">
        <v>477</v>
      </c>
      <c r="B722" s="101"/>
      <c r="C722" s="101" t="s">
        <v>478</v>
      </c>
      <c r="D722" s="102">
        <f t="shared" ref="D722:F724" si="75">D723</f>
        <v>20477.099999999999</v>
      </c>
      <c r="E722" s="102">
        <f t="shared" si="75"/>
        <v>0</v>
      </c>
      <c r="F722" s="102">
        <f t="shared" si="75"/>
        <v>20477.099999999999</v>
      </c>
      <c r="G722" s="92"/>
    </row>
    <row r="723" spans="1:7" ht="13.15" customHeight="1" x14ac:dyDescent="0.2">
      <c r="A723" s="103" t="s">
        <v>477</v>
      </c>
      <c r="B723" s="104" t="s">
        <v>133</v>
      </c>
      <c r="C723" s="104" t="s">
        <v>134</v>
      </c>
      <c r="D723" s="105">
        <f t="shared" si="75"/>
        <v>20477.099999999999</v>
      </c>
      <c r="E723" s="105">
        <f t="shared" si="75"/>
        <v>0</v>
      </c>
      <c r="F723" s="105">
        <f t="shared" si="75"/>
        <v>20477.099999999999</v>
      </c>
      <c r="G723" s="92"/>
    </row>
    <row r="724" spans="1:7" ht="13.15" customHeight="1" x14ac:dyDescent="0.2">
      <c r="A724" s="106" t="s">
        <v>477</v>
      </c>
      <c r="B724" s="107" t="s">
        <v>145</v>
      </c>
      <c r="C724" s="107" t="s">
        <v>32</v>
      </c>
      <c r="D724" s="108">
        <f t="shared" si="75"/>
        <v>20477.099999999999</v>
      </c>
      <c r="E724" s="108">
        <f t="shared" si="75"/>
        <v>0</v>
      </c>
      <c r="F724" s="108">
        <f t="shared" si="75"/>
        <v>20477.099999999999</v>
      </c>
      <c r="G724" s="92"/>
    </row>
    <row r="725" spans="1:7" ht="13.15" customHeight="1" x14ac:dyDescent="0.2">
      <c r="A725" s="109" t="s">
        <v>477</v>
      </c>
      <c r="B725" s="87" t="s">
        <v>368</v>
      </c>
      <c r="C725" s="87" t="s">
        <v>369</v>
      </c>
      <c r="D725" s="110">
        <v>20477.099999999999</v>
      </c>
      <c r="E725" s="110"/>
      <c r="F725" s="110">
        <f>SUM(D725:E725)</f>
        <v>20477.099999999999</v>
      </c>
      <c r="G725" s="92"/>
    </row>
    <row r="726" spans="1:7" ht="13.15" customHeight="1" x14ac:dyDescent="0.2">
      <c r="A726" s="100" t="s">
        <v>479</v>
      </c>
      <c r="B726" s="101"/>
      <c r="C726" s="101" t="s">
        <v>480</v>
      </c>
      <c r="D726" s="102">
        <f>+D727</f>
        <v>316814</v>
      </c>
      <c r="E726" s="102">
        <f>+E727</f>
        <v>55417</v>
      </c>
      <c r="F726" s="102">
        <f>+F727</f>
        <v>372231</v>
      </c>
      <c r="G726" s="92"/>
    </row>
    <row r="727" spans="1:7" ht="13.15" customHeight="1" x14ac:dyDescent="0.2">
      <c r="A727" s="103" t="s">
        <v>479</v>
      </c>
      <c r="B727" s="104" t="s">
        <v>133</v>
      </c>
      <c r="C727" s="104" t="s">
        <v>134</v>
      </c>
      <c r="D727" s="105">
        <f>+D728+D731</f>
        <v>316814</v>
      </c>
      <c r="E727" s="105">
        <f>+E728+E731</f>
        <v>55417</v>
      </c>
      <c r="F727" s="105">
        <f>+F728+F731</f>
        <v>372231</v>
      </c>
      <c r="G727" s="92"/>
    </row>
    <row r="728" spans="1:7" ht="13.15" customHeight="1" x14ac:dyDescent="0.2">
      <c r="A728" s="106" t="s">
        <v>479</v>
      </c>
      <c r="B728" s="107" t="s">
        <v>135</v>
      </c>
      <c r="C728" s="107" t="s">
        <v>31</v>
      </c>
      <c r="D728" s="108">
        <f>SUM(D729:D730)</f>
        <v>302048</v>
      </c>
      <c r="E728" s="108">
        <f>SUM(E729:E730)</f>
        <v>55243</v>
      </c>
      <c r="F728" s="108">
        <f>SUM(F729:F730)</f>
        <v>357291</v>
      </c>
      <c r="G728" s="92"/>
    </row>
    <row r="729" spans="1:7" ht="13.15" customHeight="1" x14ac:dyDescent="0.2">
      <c r="A729" s="109" t="s">
        <v>479</v>
      </c>
      <c r="B729" s="87" t="s">
        <v>138</v>
      </c>
      <c r="C729" s="87" t="s">
        <v>139</v>
      </c>
      <c r="D729" s="110">
        <v>225746</v>
      </c>
      <c r="E729" s="110">
        <v>41288</v>
      </c>
      <c r="F729" s="110">
        <f>SUM(D729:E729)</f>
        <v>267034</v>
      </c>
      <c r="G729" s="92"/>
    </row>
    <row r="730" spans="1:7" ht="13.15" customHeight="1" x14ac:dyDescent="0.2">
      <c r="A730" s="109" t="s">
        <v>479</v>
      </c>
      <c r="B730" s="87" t="s">
        <v>142</v>
      </c>
      <c r="C730" s="87" t="s">
        <v>143</v>
      </c>
      <c r="D730" s="110">
        <v>76302</v>
      </c>
      <c r="E730" s="110">
        <v>13955</v>
      </c>
      <c r="F730" s="110">
        <f>SUM(D730:E730)</f>
        <v>90257</v>
      </c>
      <c r="G730" s="92"/>
    </row>
    <row r="731" spans="1:7" ht="13.15" customHeight="1" x14ac:dyDescent="0.2">
      <c r="A731" s="106" t="s">
        <v>479</v>
      </c>
      <c r="B731" s="107" t="s">
        <v>145</v>
      </c>
      <c r="C731" s="107" t="s">
        <v>32</v>
      </c>
      <c r="D731" s="108">
        <f>SUM(D733:D734)</f>
        <v>14766</v>
      </c>
      <c r="E731" s="108">
        <f>SUM(E732:E734)</f>
        <v>174</v>
      </c>
      <c r="F731" s="108">
        <f>SUM(F732:F734)</f>
        <v>14940</v>
      </c>
      <c r="G731" s="92"/>
    </row>
    <row r="732" spans="1:7" ht="13.15" customHeight="1" x14ac:dyDescent="0.2">
      <c r="A732" s="109" t="s">
        <v>479</v>
      </c>
      <c r="B732" s="161">
        <v>5504</v>
      </c>
      <c r="C732" s="87" t="s">
        <v>151</v>
      </c>
      <c r="D732" s="150"/>
      <c r="E732" s="150">
        <f>2568+49</f>
        <v>2617</v>
      </c>
      <c r="F732" s="110">
        <f>SUM(D732:E732)</f>
        <v>2617</v>
      </c>
      <c r="G732" s="162" t="s">
        <v>481</v>
      </c>
    </row>
    <row r="733" spans="1:7" ht="13.15" customHeight="1" x14ac:dyDescent="0.2">
      <c r="A733" s="109" t="s">
        <v>479</v>
      </c>
      <c r="B733" s="87" t="s">
        <v>437</v>
      </c>
      <c r="C733" s="87" t="s">
        <v>438</v>
      </c>
      <c r="D733" s="110">
        <v>2568</v>
      </c>
      <c r="E733" s="110">
        <v>-2568</v>
      </c>
      <c r="F733" s="110">
        <f>SUM(D733:E733)</f>
        <v>0</v>
      </c>
      <c r="G733" s="156" t="s">
        <v>482</v>
      </c>
    </row>
    <row r="734" spans="1:7" ht="13.15" customHeight="1" x14ac:dyDescent="0.2">
      <c r="A734" s="109" t="s">
        <v>479</v>
      </c>
      <c r="B734" s="87" t="s">
        <v>381</v>
      </c>
      <c r="C734" s="87" t="s">
        <v>382</v>
      </c>
      <c r="D734" s="110">
        <v>12198</v>
      </c>
      <c r="E734" s="110">
        <v>125</v>
      </c>
      <c r="F734" s="110">
        <f>SUM(D734:E734)</f>
        <v>12323</v>
      </c>
      <c r="G734" s="92" t="s">
        <v>483</v>
      </c>
    </row>
    <row r="735" spans="1:7" ht="13.15" customHeight="1" x14ac:dyDescent="0.2">
      <c r="A735" s="100" t="s">
        <v>484</v>
      </c>
      <c r="B735" s="101"/>
      <c r="C735" s="101" t="s">
        <v>485</v>
      </c>
      <c r="D735" s="102">
        <f t="shared" ref="D735:F736" si="76">+D736</f>
        <v>19688</v>
      </c>
      <c r="E735" s="102">
        <f t="shared" si="76"/>
        <v>31853</v>
      </c>
      <c r="F735" s="102">
        <f t="shared" si="76"/>
        <v>51541</v>
      </c>
      <c r="G735" s="92" t="s">
        <v>486</v>
      </c>
    </row>
    <row r="736" spans="1:7" ht="13.15" customHeight="1" x14ac:dyDescent="0.2">
      <c r="A736" s="103" t="s">
        <v>484</v>
      </c>
      <c r="B736" s="104" t="s">
        <v>133</v>
      </c>
      <c r="C736" s="104" t="s">
        <v>134</v>
      </c>
      <c r="D736" s="105">
        <f t="shared" si="76"/>
        <v>19688</v>
      </c>
      <c r="E736" s="105">
        <f t="shared" si="76"/>
        <v>31853</v>
      </c>
      <c r="F736" s="105">
        <f t="shared" si="76"/>
        <v>51541</v>
      </c>
      <c r="G736" s="92" t="s">
        <v>483</v>
      </c>
    </row>
    <row r="737" spans="1:7" ht="13.15" customHeight="1" x14ac:dyDescent="0.2">
      <c r="A737" s="106" t="s">
        <v>484</v>
      </c>
      <c r="B737" s="107" t="s">
        <v>135</v>
      </c>
      <c r="C737" s="107" t="s">
        <v>31</v>
      </c>
      <c r="D737" s="108">
        <f>SUM(D738:D739)</f>
        <v>19688</v>
      </c>
      <c r="E737" s="108">
        <f>SUM(E738:E739)</f>
        <v>31853</v>
      </c>
      <c r="F737" s="108">
        <f>SUM(F738:F739)</f>
        <v>51541</v>
      </c>
      <c r="G737" s="92"/>
    </row>
    <row r="738" spans="1:7" ht="13.15" customHeight="1" x14ac:dyDescent="0.2">
      <c r="A738" s="109" t="s">
        <v>484</v>
      </c>
      <c r="B738" s="87" t="s">
        <v>138</v>
      </c>
      <c r="C738" s="87" t="s">
        <v>139</v>
      </c>
      <c r="D738" s="110">
        <v>14770</v>
      </c>
      <c r="E738" s="110">
        <f>23600+206</f>
        <v>23806</v>
      </c>
      <c r="F738" s="110">
        <f>SUM(D738:E738)</f>
        <v>38576</v>
      </c>
      <c r="G738" s="92"/>
    </row>
    <row r="739" spans="1:7" ht="13.15" customHeight="1" x14ac:dyDescent="0.2">
      <c r="A739" s="109" t="s">
        <v>484</v>
      </c>
      <c r="B739" s="87" t="s">
        <v>142</v>
      </c>
      <c r="C739" s="87" t="s">
        <v>143</v>
      </c>
      <c r="D739" s="110">
        <v>4918</v>
      </c>
      <c r="E739" s="110">
        <f>7977+70</f>
        <v>8047</v>
      </c>
      <c r="F739" s="110">
        <f>SUM(D739:E739)</f>
        <v>12965</v>
      </c>
      <c r="G739" s="92"/>
    </row>
    <row r="740" spans="1:7" ht="13.15" customHeight="1" x14ac:dyDescent="0.2">
      <c r="A740" s="100" t="s">
        <v>487</v>
      </c>
      <c r="B740" s="101"/>
      <c r="C740" s="101" t="s">
        <v>488</v>
      </c>
      <c r="D740" s="102">
        <f t="shared" ref="D740:F741" si="77">+D741</f>
        <v>29212</v>
      </c>
      <c r="E740" s="102">
        <f t="shared" si="77"/>
        <v>409</v>
      </c>
      <c r="F740" s="102">
        <f t="shared" si="77"/>
        <v>29621</v>
      </c>
      <c r="G740" s="92"/>
    </row>
    <row r="741" spans="1:7" ht="13.15" customHeight="1" x14ac:dyDescent="0.2">
      <c r="A741" s="103" t="s">
        <v>487</v>
      </c>
      <c r="B741" s="104" t="s">
        <v>133</v>
      </c>
      <c r="C741" s="104" t="s">
        <v>134</v>
      </c>
      <c r="D741" s="105">
        <f t="shared" si="77"/>
        <v>29212</v>
      </c>
      <c r="E741" s="105">
        <f t="shared" si="77"/>
        <v>409</v>
      </c>
      <c r="F741" s="105">
        <f t="shared" si="77"/>
        <v>29621</v>
      </c>
      <c r="G741" s="92"/>
    </row>
    <row r="742" spans="1:7" ht="13.15" customHeight="1" x14ac:dyDescent="0.2">
      <c r="A742" s="106" t="s">
        <v>487</v>
      </c>
      <c r="B742" s="107" t="s">
        <v>145</v>
      </c>
      <c r="C742" s="107" t="s">
        <v>32</v>
      </c>
      <c r="D742" s="108">
        <f>SUM(D743:D743)</f>
        <v>29212</v>
      </c>
      <c r="E742" s="108">
        <f>SUM(E743:E743)</f>
        <v>409</v>
      </c>
      <c r="F742" s="108">
        <f>SUM(F743:F743)</f>
        <v>29621</v>
      </c>
      <c r="G742" s="92"/>
    </row>
    <row r="743" spans="1:7" ht="13.15" customHeight="1" x14ac:dyDescent="0.2">
      <c r="A743" s="109" t="s">
        <v>487</v>
      </c>
      <c r="B743" s="87" t="s">
        <v>368</v>
      </c>
      <c r="C743" s="87" t="s">
        <v>369</v>
      </c>
      <c r="D743" s="110">
        <v>29212</v>
      </c>
      <c r="E743" s="110">
        <v>409</v>
      </c>
      <c r="F743" s="110">
        <f>SUM(D743:E743)</f>
        <v>29621</v>
      </c>
      <c r="G743" s="92" t="s">
        <v>483</v>
      </c>
    </row>
    <row r="744" spans="1:7" ht="13.15" customHeight="1" x14ac:dyDescent="0.2">
      <c r="A744" s="100" t="s">
        <v>489</v>
      </c>
      <c r="B744" s="101"/>
      <c r="C744" s="101" t="s">
        <v>490</v>
      </c>
      <c r="D744" s="102">
        <f t="shared" ref="D744" si="78">D745+D749</f>
        <v>293983</v>
      </c>
      <c r="E744" s="102">
        <f>E745+E749</f>
        <v>-189396</v>
      </c>
      <c r="F744" s="102">
        <f>F745+F749</f>
        <v>104587</v>
      </c>
      <c r="G744" s="92"/>
    </row>
    <row r="745" spans="1:7" ht="13.15" customHeight="1" x14ac:dyDescent="0.2">
      <c r="A745" s="103" t="s">
        <v>459</v>
      </c>
      <c r="B745" s="104" t="s">
        <v>166</v>
      </c>
      <c r="C745" s="104" t="s">
        <v>167</v>
      </c>
      <c r="D745" s="105">
        <f t="shared" ref="D745:F747" si="79">D746</f>
        <v>0</v>
      </c>
      <c r="E745" s="105">
        <f t="shared" si="79"/>
        <v>50982</v>
      </c>
      <c r="F745" s="105">
        <f t="shared" si="79"/>
        <v>50982</v>
      </c>
      <c r="G745" s="92"/>
    </row>
    <row r="746" spans="1:7" ht="13.15" customHeight="1" x14ac:dyDescent="0.2">
      <c r="A746" s="106" t="s">
        <v>459</v>
      </c>
      <c r="B746" s="107" t="s">
        <v>219</v>
      </c>
      <c r="C746" s="107" t="s">
        <v>220</v>
      </c>
      <c r="D746" s="108">
        <f t="shared" si="79"/>
        <v>0</v>
      </c>
      <c r="E746" s="108">
        <f t="shared" si="79"/>
        <v>50982</v>
      </c>
      <c r="F746" s="108">
        <f t="shared" si="79"/>
        <v>50982</v>
      </c>
      <c r="G746" s="92"/>
    </row>
    <row r="747" spans="1:7" ht="13.15" customHeight="1" x14ac:dyDescent="0.2">
      <c r="A747" s="109" t="s">
        <v>459</v>
      </c>
      <c r="B747" s="87" t="s">
        <v>221</v>
      </c>
      <c r="C747" s="87" t="s">
        <v>222</v>
      </c>
      <c r="D747" s="110">
        <f t="shared" si="79"/>
        <v>0</v>
      </c>
      <c r="E747" s="110">
        <f t="shared" si="79"/>
        <v>50982</v>
      </c>
      <c r="F747" s="110">
        <f t="shared" si="79"/>
        <v>50982</v>
      </c>
      <c r="G747" s="92"/>
    </row>
    <row r="748" spans="1:7" ht="13.15" customHeight="1" x14ac:dyDescent="0.2">
      <c r="A748" s="109" t="s">
        <v>459</v>
      </c>
      <c r="B748" s="87" t="s">
        <v>460</v>
      </c>
      <c r="C748" s="87" t="s">
        <v>233</v>
      </c>
      <c r="D748" s="110"/>
      <c r="E748" s="110">
        <v>50982</v>
      </c>
      <c r="F748" s="110">
        <f>SUM(D748:E748)</f>
        <v>50982</v>
      </c>
      <c r="G748" s="92" t="s">
        <v>491</v>
      </c>
    </row>
    <row r="749" spans="1:7" ht="13.15" customHeight="1" x14ac:dyDescent="0.2">
      <c r="A749" s="103" t="s">
        <v>489</v>
      </c>
      <c r="B749" s="104" t="s">
        <v>133</v>
      </c>
      <c r="C749" s="104" t="s">
        <v>134</v>
      </c>
      <c r="D749" s="105">
        <f t="shared" ref="D749:F750" si="80">D750</f>
        <v>293983</v>
      </c>
      <c r="E749" s="105">
        <f t="shared" si="80"/>
        <v>-240378</v>
      </c>
      <c r="F749" s="105">
        <f t="shared" si="80"/>
        <v>53605</v>
      </c>
      <c r="G749" s="92"/>
    </row>
    <row r="750" spans="1:7" ht="13.15" customHeight="1" x14ac:dyDescent="0.2">
      <c r="A750" s="106" t="s">
        <v>489</v>
      </c>
      <c r="B750" s="107" t="s">
        <v>145</v>
      </c>
      <c r="C750" s="107" t="s">
        <v>32</v>
      </c>
      <c r="D750" s="108">
        <f t="shared" si="80"/>
        <v>293983</v>
      </c>
      <c r="E750" s="108">
        <f t="shared" si="80"/>
        <v>-240378</v>
      </c>
      <c r="F750" s="108">
        <f t="shared" si="80"/>
        <v>53605</v>
      </c>
      <c r="G750" s="92"/>
    </row>
    <row r="751" spans="1:7" ht="13.15" customHeight="1" x14ac:dyDescent="0.2">
      <c r="A751" s="109" t="s">
        <v>489</v>
      </c>
      <c r="B751" s="87" t="s">
        <v>381</v>
      </c>
      <c r="C751" s="87" t="s">
        <v>382</v>
      </c>
      <c r="D751" s="110">
        <v>293983</v>
      </c>
      <c r="E751" s="110">
        <v>-240378</v>
      </c>
      <c r="F751" s="110">
        <f>SUM(D751:E751)</f>
        <v>53605</v>
      </c>
      <c r="G751" s="92" t="s">
        <v>492</v>
      </c>
    </row>
    <row r="752" spans="1:7" ht="13.15" customHeight="1" x14ac:dyDescent="0.2">
      <c r="A752" s="157" t="s">
        <v>493</v>
      </c>
      <c r="B752" s="158"/>
      <c r="C752" s="158" t="s">
        <v>494</v>
      </c>
      <c r="D752" s="159">
        <f t="shared" ref="D752:F752" si="81">+D753+D792+D796+D802+D809+D814+D819</f>
        <v>2320757.9050000003</v>
      </c>
      <c r="E752" s="159">
        <f t="shared" si="81"/>
        <v>169091</v>
      </c>
      <c r="F752" s="159">
        <f t="shared" si="81"/>
        <v>2489848.9050000003</v>
      </c>
      <c r="G752" s="92"/>
    </row>
    <row r="753" spans="1:7" ht="13.15" customHeight="1" x14ac:dyDescent="0.2">
      <c r="A753" s="100" t="s">
        <v>495</v>
      </c>
      <c r="B753" s="101"/>
      <c r="C753" s="101" t="s">
        <v>496</v>
      </c>
      <c r="D753" s="102">
        <f>D754+D759</f>
        <v>884541.90500000003</v>
      </c>
      <c r="E753" s="102">
        <f>E754+E759</f>
        <v>85271</v>
      </c>
      <c r="F753" s="102">
        <f>F754+F759</f>
        <v>969812.90500000003</v>
      </c>
      <c r="G753" s="92"/>
    </row>
    <row r="754" spans="1:7" ht="13.15" customHeight="1" x14ac:dyDescent="0.2">
      <c r="A754" s="103" t="s">
        <v>495</v>
      </c>
      <c r="B754" s="104" t="s">
        <v>127</v>
      </c>
      <c r="C754" s="104" t="s">
        <v>128</v>
      </c>
      <c r="D754" s="105">
        <f>D755</f>
        <v>0</v>
      </c>
      <c r="E754" s="105">
        <f>E755</f>
        <v>47000</v>
      </c>
      <c r="F754" s="105">
        <f>F755</f>
        <v>47000</v>
      </c>
      <c r="G754" s="92"/>
    </row>
    <row r="755" spans="1:7" ht="13.15" customHeight="1" x14ac:dyDescent="0.2">
      <c r="A755" s="106" t="s">
        <v>495</v>
      </c>
      <c r="B755" s="107" t="s">
        <v>129</v>
      </c>
      <c r="C755" s="107" t="s">
        <v>130</v>
      </c>
      <c r="D755" s="108">
        <f>SUM(D756:D758)</f>
        <v>0</v>
      </c>
      <c r="E755" s="108">
        <f>SUM(E756:E758)</f>
        <v>47000</v>
      </c>
      <c r="F755" s="108">
        <f>SUM(F756:F758)</f>
        <v>47000</v>
      </c>
      <c r="G755" s="92"/>
    </row>
    <row r="756" spans="1:7" ht="13.15" customHeight="1" x14ac:dyDescent="0.2">
      <c r="A756" s="109" t="s">
        <v>495</v>
      </c>
      <c r="B756" s="87" t="s">
        <v>163</v>
      </c>
      <c r="C756" s="87" t="s">
        <v>164</v>
      </c>
      <c r="D756" s="110">
        <v>0</v>
      </c>
      <c r="E756" s="110">
        <f>10000+26000+4000+7000</f>
        <v>47000</v>
      </c>
      <c r="F756" s="110">
        <f>+E756+D756</f>
        <v>47000</v>
      </c>
      <c r="G756" s="92" t="s">
        <v>497</v>
      </c>
    </row>
    <row r="757" spans="1:7" ht="13.15" customHeight="1" x14ac:dyDescent="0.2">
      <c r="A757" s="109" t="s">
        <v>495</v>
      </c>
      <c r="B757" s="87" t="s">
        <v>498</v>
      </c>
      <c r="C757" s="87" t="s">
        <v>499</v>
      </c>
      <c r="D757" s="110">
        <v>0</v>
      </c>
      <c r="E757" s="110"/>
      <c r="F757" s="110">
        <f>SUM(D757:E757)</f>
        <v>0</v>
      </c>
      <c r="G757" s="92"/>
    </row>
    <row r="758" spans="1:7" ht="13.15" customHeight="1" x14ac:dyDescent="0.2">
      <c r="A758" s="109" t="s">
        <v>495</v>
      </c>
      <c r="B758" s="87" t="s">
        <v>131</v>
      </c>
      <c r="C758" s="87" t="s">
        <v>132</v>
      </c>
      <c r="D758" s="110">
        <v>0</v>
      </c>
      <c r="E758" s="110"/>
      <c r="F758" s="110">
        <f>SUM(D758:E758)</f>
        <v>0</v>
      </c>
      <c r="G758" s="92"/>
    </row>
    <row r="759" spans="1:7" ht="13.15" customHeight="1" x14ac:dyDescent="0.2">
      <c r="A759" s="103" t="s">
        <v>495</v>
      </c>
      <c r="B759" s="104" t="s">
        <v>133</v>
      </c>
      <c r="C759" s="104" t="s">
        <v>134</v>
      </c>
      <c r="D759" s="105">
        <f>D760+D764</f>
        <v>884541.90500000003</v>
      </c>
      <c r="E759" s="105">
        <f>E760+E764</f>
        <v>38271</v>
      </c>
      <c r="F759" s="105">
        <f>F760+F764</f>
        <v>922812.90500000003</v>
      </c>
      <c r="G759" s="92"/>
    </row>
    <row r="760" spans="1:7" ht="13.15" customHeight="1" x14ac:dyDescent="0.2">
      <c r="A760" s="106" t="s">
        <v>495</v>
      </c>
      <c r="B760" s="107" t="s">
        <v>135</v>
      </c>
      <c r="C760" s="107" t="s">
        <v>31</v>
      </c>
      <c r="D760" s="108">
        <f>SUM(D761:D763)</f>
        <v>600229.90500000003</v>
      </c>
      <c r="E760" s="108">
        <f>SUM(E761:E763)</f>
        <v>-11429</v>
      </c>
      <c r="F760" s="108">
        <f>SUM(F761:F763)</f>
        <v>588800.90500000003</v>
      </c>
      <c r="G760" s="156" t="s">
        <v>500</v>
      </c>
    </row>
    <row r="761" spans="1:7" ht="13.15" customHeight="1" x14ac:dyDescent="0.2">
      <c r="A761" s="109" t="s">
        <v>495</v>
      </c>
      <c r="B761" s="87" t="s">
        <v>138</v>
      </c>
      <c r="C761" s="87" t="s">
        <v>139</v>
      </c>
      <c r="D761" s="110">
        <v>450285</v>
      </c>
      <c r="E761" s="110">
        <f>747-10972</f>
        <v>-10225</v>
      </c>
      <c r="F761" s="110">
        <f>SUM(D761:E761)</f>
        <v>440060</v>
      </c>
      <c r="G761" s="92"/>
    </row>
    <row r="762" spans="1:7" ht="13.15" customHeight="1" x14ac:dyDescent="0.2">
      <c r="A762" s="109" t="s">
        <v>495</v>
      </c>
      <c r="B762" s="87" t="s">
        <v>174</v>
      </c>
      <c r="C762" s="87" t="s">
        <v>175</v>
      </c>
      <c r="D762" s="110">
        <v>0</v>
      </c>
      <c r="E762" s="110"/>
      <c r="F762" s="110">
        <f>SUM(D762:E762)</f>
        <v>0</v>
      </c>
      <c r="G762" s="92"/>
    </row>
    <row r="763" spans="1:7" ht="13.15" customHeight="1" x14ac:dyDescent="0.2">
      <c r="A763" s="109" t="s">
        <v>495</v>
      </c>
      <c r="B763" s="87" t="s">
        <v>142</v>
      </c>
      <c r="C763" s="87" t="s">
        <v>143</v>
      </c>
      <c r="D763" s="110">
        <f>D761*0.333</f>
        <v>149944.905</v>
      </c>
      <c r="E763" s="110">
        <f>253-1457</f>
        <v>-1204</v>
      </c>
      <c r="F763" s="110">
        <f>SUM(D763:E763)</f>
        <v>148740.905</v>
      </c>
      <c r="G763" s="89" t="s">
        <v>144</v>
      </c>
    </row>
    <row r="764" spans="1:7" ht="13.15" customHeight="1" x14ac:dyDescent="0.2">
      <c r="A764" s="106" t="s">
        <v>495</v>
      </c>
      <c r="B764" s="107" t="s">
        <v>145</v>
      </c>
      <c r="C764" s="107" t="s">
        <v>32</v>
      </c>
      <c r="D764" s="108">
        <f>SUM(D765:D787)-D769</f>
        <v>284312</v>
      </c>
      <c r="E764" s="108">
        <f>SUM(E765:E787)-E769</f>
        <v>49700</v>
      </c>
      <c r="F764" s="108">
        <f>SUM(F765:F787)-F769</f>
        <v>334012</v>
      </c>
      <c r="G764" s="92"/>
    </row>
    <row r="765" spans="1:7" ht="13.15" customHeight="1" x14ac:dyDescent="0.2">
      <c r="A765" s="109" t="s">
        <v>495</v>
      </c>
      <c r="B765" s="87" t="s">
        <v>146</v>
      </c>
      <c r="C765" s="87" t="s">
        <v>147</v>
      </c>
      <c r="D765" s="110">
        <v>8000</v>
      </c>
      <c r="E765" s="110"/>
      <c r="F765" s="110">
        <f>SUM(D765:E765)</f>
        <v>8000</v>
      </c>
      <c r="G765" s="92"/>
    </row>
    <row r="766" spans="1:7" ht="13.15" customHeight="1" x14ac:dyDescent="0.2">
      <c r="A766" s="109" t="s">
        <v>495</v>
      </c>
      <c r="B766" s="87" t="s">
        <v>148</v>
      </c>
      <c r="C766" s="87" t="s">
        <v>149</v>
      </c>
      <c r="D766" s="110">
        <v>1000</v>
      </c>
      <c r="E766" s="110"/>
      <c r="F766" s="110">
        <f>SUM(D766:E766)</f>
        <v>1000</v>
      </c>
      <c r="G766" s="92"/>
    </row>
    <row r="767" spans="1:7" ht="13.15" customHeight="1" x14ac:dyDescent="0.2">
      <c r="A767" s="109" t="s">
        <v>495</v>
      </c>
      <c r="B767" s="87" t="s">
        <v>150</v>
      </c>
      <c r="C767" s="87" t="s">
        <v>151</v>
      </c>
      <c r="D767" s="110">
        <v>800</v>
      </c>
      <c r="E767" s="110"/>
      <c r="F767" s="110">
        <f>SUM(D767:E767)</f>
        <v>800</v>
      </c>
      <c r="G767" s="92"/>
    </row>
    <row r="768" spans="1:7" ht="13.15" customHeight="1" x14ac:dyDescent="0.2">
      <c r="A768" s="109" t="s">
        <v>495</v>
      </c>
      <c r="B768" s="87" t="s">
        <v>437</v>
      </c>
      <c r="C768" s="87" t="s">
        <v>438</v>
      </c>
      <c r="D768" s="110"/>
      <c r="E768" s="110"/>
      <c r="F768" s="110">
        <f>SUM(D768:E768)</f>
        <v>0</v>
      </c>
      <c r="G768" s="92"/>
    </row>
    <row r="769" spans="1:7" ht="13.15" customHeight="1" x14ac:dyDescent="0.2">
      <c r="A769" s="111" t="s">
        <v>495</v>
      </c>
      <c r="B769" s="112" t="s">
        <v>176</v>
      </c>
      <c r="C769" s="112" t="s">
        <v>177</v>
      </c>
      <c r="D769" s="113">
        <f>SUM(D770:D779)</f>
        <v>229409</v>
      </c>
      <c r="E769" s="113">
        <f>SUM(E770:E779)</f>
        <v>0</v>
      </c>
      <c r="F769" s="113">
        <f>SUM(F770:F779)</f>
        <v>229409</v>
      </c>
      <c r="G769" s="92"/>
    </row>
    <row r="770" spans="1:7" ht="13.15" customHeight="1" x14ac:dyDescent="0.2">
      <c r="A770" s="114" t="s">
        <v>495</v>
      </c>
      <c r="B770" s="115" t="s">
        <v>178</v>
      </c>
      <c r="C770" s="115" t="s">
        <v>179</v>
      </c>
      <c r="D770" s="116">
        <v>104985</v>
      </c>
      <c r="E770" s="116"/>
      <c r="F770" s="116">
        <f t="shared" ref="F770:F787" si="82">SUM(D770:E770)</f>
        <v>104985</v>
      </c>
      <c r="G770" s="92"/>
    </row>
    <row r="771" spans="1:7" ht="13.15" customHeight="1" x14ac:dyDescent="0.2">
      <c r="A771" s="114" t="s">
        <v>495</v>
      </c>
      <c r="B771" s="115" t="s">
        <v>180</v>
      </c>
      <c r="C771" s="115" t="s">
        <v>75</v>
      </c>
      <c r="D771" s="116">
        <v>48750</v>
      </c>
      <c r="E771" s="116"/>
      <c r="F771" s="116">
        <f t="shared" si="82"/>
        <v>48750</v>
      </c>
      <c r="G771" s="92"/>
    </row>
    <row r="772" spans="1:7" ht="13.15" customHeight="1" x14ac:dyDescent="0.2">
      <c r="A772" s="114" t="s">
        <v>495</v>
      </c>
      <c r="B772" s="115" t="s">
        <v>181</v>
      </c>
      <c r="C772" s="115" t="s">
        <v>182</v>
      </c>
      <c r="D772" s="116">
        <v>8256</v>
      </c>
      <c r="E772" s="116"/>
      <c r="F772" s="116">
        <f t="shared" si="82"/>
        <v>8256</v>
      </c>
      <c r="G772" s="92"/>
    </row>
    <row r="773" spans="1:7" ht="13.15" customHeight="1" x14ac:dyDescent="0.2">
      <c r="A773" s="114" t="s">
        <v>495</v>
      </c>
      <c r="B773" s="115" t="s">
        <v>183</v>
      </c>
      <c r="C773" s="115" t="s">
        <v>184</v>
      </c>
      <c r="D773" s="116">
        <v>16000</v>
      </c>
      <c r="E773" s="116"/>
      <c r="F773" s="116">
        <f t="shared" si="82"/>
        <v>16000</v>
      </c>
      <c r="G773" s="92"/>
    </row>
    <row r="774" spans="1:7" ht="13.15" customHeight="1" x14ac:dyDescent="0.2">
      <c r="A774" s="114" t="s">
        <v>495</v>
      </c>
      <c r="B774" s="115" t="s">
        <v>185</v>
      </c>
      <c r="C774" s="115" t="s">
        <v>186</v>
      </c>
      <c r="D774" s="116">
        <v>39000</v>
      </c>
      <c r="E774" s="116"/>
      <c r="F774" s="116">
        <f t="shared" si="82"/>
        <v>39000</v>
      </c>
      <c r="G774" s="92"/>
    </row>
    <row r="775" spans="1:7" ht="13.15" customHeight="1" x14ac:dyDescent="0.2">
      <c r="A775" s="114" t="s">
        <v>495</v>
      </c>
      <c r="B775" s="115" t="s">
        <v>187</v>
      </c>
      <c r="C775" s="115" t="s">
        <v>188</v>
      </c>
      <c r="D775" s="116">
        <v>7207</v>
      </c>
      <c r="E775" s="116"/>
      <c r="F775" s="116">
        <f t="shared" si="82"/>
        <v>7207</v>
      </c>
      <c r="G775" s="92"/>
    </row>
    <row r="776" spans="1:7" ht="13.15" customHeight="1" x14ac:dyDescent="0.2">
      <c r="A776" s="114" t="s">
        <v>495</v>
      </c>
      <c r="B776" s="115" t="s">
        <v>189</v>
      </c>
      <c r="C776" s="115" t="s">
        <v>190</v>
      </c>
      <c r="D776" s="116">
        <v>3000</v>
      </c>
      <c r="E776" s="116"/>
      <c r="F776" s="116">
        <f t="shared" si="82"/>
        <v>3000</v>
      </c>
      <c r="G776" s="92"/>
    </row>
    <row r="777" spans="1:7" ht="13.15" customHeight="1" x14ac:dyDescent="0.2">
      <c r="A777" s="114" t="s">
        <v>495</v>
      </c>
      <c r="B777" s="115" t="s">
        <v>191</v>
      </c>
      <c r="C777" s="115" t="s">
        <v>192</v>
      </c>
      <c r="D777" s="116">
        <v>2211</v>
      </c>
      <c r="E777" s="116"/>
      <c r="F777" s="116">
        <f t="shared" si="82"/>
        <v>2211</v>
      </c>
      <c r="G777" s="92"/>
    </row>
    <row r="778" spans="1:7" ht="13.15" customHeight="1" x14ac:dyDescent="0.2">
      <c r="A778" s="114" t="s">
        <v>495</v>
      </c>
      <c r="B778" s="115" t="s">
        <v>193</v>
      </c>
      <c r="C778" s="115" t="s">
        <v>194</v>
      </c>
      <c r="D778" s="116"/>
      <c r="E778" s="116"/>
      <c r="F778" s="116">
        <f t="shared" si="82"/>
        <v>0</v>
      </c>
      <c r="G778" s="92"/>
    </row>
    <row r="779" spans="1:7" ht="13.15" customHeight="1" x14ac:dyDescent="0.2">
      <c r="A779" s="114" t="s">
        <v>495</v>
      </c>
      <c r="B779" s="115" t="s">
        <v>316</v>
      </c>
      <c r="C779" s="115" t="s">
        <v>317</v>
      </c>
      <c r="D779" s="116"/>
      <c r="E779" s="116"/>
      <c r="F779" s="116">
        <f t="shared" si="82"/>
        <v>0</v>
      </c>
      <c r="G779" s="92"/>
    </row>
    <row r="780" spans="1:7" ht="13.15" customHeight="1" x14ac:dyDescent="0.2">
      <c r="A780" s="109" t="s">
        <v>495</v>
      </c>
      <c r="B780" s="87" t="s">
        <v>152</v>
      </c>
      <c r="C780" s="87" t="s">
        <v>153</v>
      </c>
      <c r="D780" s="110">
        <v>3400</v>
      </c>
      <c r="E780" s="110"/>
      <c r="F780" s="110">
        <f t="shared" si="82"/>
        <v>3400</v>
      </c>
      <c r="G780" s="92"/>
    </row>
    <row r="781" spans="1:7" ht="13.15" customHeight="1" x14ac:dyDescent="0.2">
      <c r="A781" s="109" t="s">
        <v>495</v>
      </c>
      <c r="B781" s="87" t="s">
        <v>154</v>
      </c>
      <c r="C781" s="87" t="s">
        <v>155</v>
      </c>
      <c r="D781" s="110">
        <v>13300</v>
      </c>
      <c r="E781" s="110">
        <f>20000+24700</f>
        <v>44700</v>
      </c>
      <c r="F781" s="110">
        <f t="shared" si="82"/>
        <v>58000</v>
      </c>
      <c r="G781" s="92" t="s">
        <v>501</v>
      </c>
    </row>
    <row r="782" spans="1:7" ht="13.15" customHeight="1" x14ac:dyDescent="0.2">
      <c r="A782" s="109" t="s">
        <v>495</v>
      </c>
      <c r="B782" s="87" t="s">
        <v>156</v>
      </c>
      <c r="C782" s="87" t="s">
        <v>157</v>
      </c>
      <c r="D782" s="110">
        <v>14000</v>
      </c>
      <c r="E782" s="110">
        <v>5000</v>
      </c>
      <c r="F782" s="110">
        <f t="shared" si="82"/>
        <v>19000</v>
      </c>
      <c r="G782" s="92" t="s">
        <v>502</v>
      </c>
    </row>
    <row r="783" spans="1:7" ht="13.15" customHeight="1" x14ac:dyDescent="0.2">
      <c r="A783" s="109" t="s">
        <v>495</v>
      </c>
      <c r="B783" s="87" t="s">
        <v>368</v>
      </c>
      <c r="C783" s="87" t="s">
        <v>369</v>
      </c>
      <c r="D783" s="110"/>
      <c r="E783" s="110"/>
      <c r="F783" s="110">
        <f t="shared" si="82"/>
        <v>0</v>
      </c>
      <c r="G783" s="92"/>
    </row>
    <row r="784" spans="1:7" ht="13.15" customHeight="1" x14ac:dyDescent="0.2">
      <c r="A784" s="109" t="s">
        <v>495</v>
      </c>
      <c r="B784" s="87" t="s">
        <v>158</v>
      </c>
      <c r="C784" s="87" t="s">
        <v>159</v>
      </c>
      <c r="D784" s="110">
        <v>700</v>
      </c>
      <c r="E784" s="110"/>
      <c r="F784" s="110">
        <f t="shared" si="82"/>
        <v>700</v>
      </c>
      <c r="G784" s="92"/>
    </row>
    <row r="785" spans="1:7" ht="13.15" customHeight="1" x14ac:dyDescent="0.2">
      <c r="A785" s="109" t="s">
        <v>495</v>
      </c>
      <c r="B785" s="87" t="s">
        <v>381</v>
      </c>
      <c r="C785" s="87" t="s">
        <v>382</v>
      </c>
      <c r="D785" s="110">
        <v>6703</v>
      </c>
      <c r="E785" s="110"/>
      <c r="F785" s="110">
        <f t="shared" si="82"/>
        <v>6703</v>
      </c>
      <c r="G785" s="92"/>
    </row>
    <row r="786" spans="1:7" ht="13.15" customHeight="1" x14ac:dyDescent="0.2">
      <c r="A786" s="109" t="s">
        <v>495</v>
      </c>
      <c r="B786" s="87" t="s">
        <v>195</v>
      </c>
      <c r="C786" s="87" t="s">
        <v>196</v>
      </c>
      <c r="D786" s="110">
        <v>3000</v>
      </c>
      <c r="E786" s="110"/>
      <c r="F786" s="110">
        <f t="shared" si="82"/>
        <v>3000</v>
      </c>
      <c r="G786" s="92"/>
    </row>
    <row r="787" spans="1:7" ht="13.15" customHeight="1" x14ac:dyDescent="0.2">
      <c r="A787" s="109" t="s">
        <v>495</v>
      </c>
      <c r="B787" s="87" t="s">
        <v>199</v>
      </c>
      <c r="C787" s="87" t="s">
        <v>200</v>
      </c>
      <c r="D787" s="110">
        <v>4000</v>
      </c>
      <c r="E787" s="110"/>
      <c r="F787" s="110">
        <f t="shared" si="82"/>
        <v>4000</v>
      </c>
      <c r="G787" s="92"/>
    </row>
    <row r="788" spans="1:7" ht="13.15" customHeight="1" x14ac:dyDescent="0.2">
      <c r="A788" s="103" t="s">
        <v>495</v>
      </c>
      <c r="B788" s="104" t="s">
        <v>201</v>
      </c>
      <c r="C788" s="104" t="s">
        <v>33</v>
      </c>
      <c r="D788" s="105">
        <f>+D789</f>
        <v>0</v>
      </c>
      <c r="E788" s="105">
        <f>+E789</f>
        <v>0</v>
      </c>
      <c r="F788" s="105">
        <f>+F789</f>
        <v>0</v>
      </c>
      <c r="G788" s="92"/>
    </row>
    <row r="789" spans="1:7" ht="13.15" customHeight="1" x14ac:dyDescent="0.2">
      <c r="A789" s="106" t="s">
        <v>495</v>
      </c>
      <c r="B789" s="107" t="s">
        <v>202</v>
      </c>
      <c r="C789" s="107" t="s">
        <v>203</v>
      </c>
      <c r="D789" s="108">
        <f>SUM(D790:D791)</f>
        <v>0</v>
      </c>
      <c r="E789" s="108">
        <f>SUM(E790:E791)</f>
        <v>0</v>
      </c>
      <c r="F789" s="108">
        <f>SUM(F790:F791)</f>
        <v>0</v>
      </c>
      <c r="G789" s="92"/>
    </row>
    <row r="790" spans="1:7" ht="13.15" customHeight="1" x14ac:dyDescent="0.2">
      <c r="A790" s="109" t="s">
        <v>495</v>
      </c>
      <c r="B790" s="87" t="s">
        <v>204</v>
      </c>
      <c r="C790" s="87" t="s">
        <v>205</v>
      </c>
      <c r="D790" s="110"/>
      <c r="E790" s="110"/>
      <c r="F790" s="110">
        <f>SUM(D790:E790)</f>
        <v>0</v>
      </c>
      <c r="G790" s="92"/>
    </row>
    <row r="791" spans="1:7" ht="13.15" customHeight="1" x14ac:dyDescent="0.2">
      <c r="A791" s="109" t="s">
        <v>495</v>
      </c>
      <c r="B791" s="87" t="s">
        <v>208</v>
      </c>
      <c r="C791" s="87" t="s">
        <v>209</v>
      </c>
      <c r="D791" s="110"/>
      <c r="E791" s="110"/>
      <c r="F791" s="110">
        <f>SUM(D791:E791)</f>
        <v>0</v>
      </c>
      <c r="G791" s="92"/>
    </row>
    <row r="792" spans="1:7" ht="13.15" customHeight="1" x14ac:dyDescent="0.2">
      <c r="A792" s="100" t="s">
        <v>503</v>
      </c>
      <c r="B792" s="101"/>
      <c r="C792" s="101" t="s">
        <v>504</v>
      </c>
      <c r="D792" s="102">
        <f t="shared" ref="D792:F794" si="83">D793</f>
        <v>35585</v>
      </c>
      <c r="E792" s="102">
        <f t="shared" si="83"/>
        <v>0</v>
      </c>
      <c r="F792" s="102">
        <f t="shared" si="83"/>
        <v>35585</v>
      </c>
      <c r="G792" s="92"/>
    </row>
    <row r="793" spans="1:7" ht="13.15" customHeight="1" x14ac:dyDescent="0.2">
      <c r="A793" s="103" t="s">
        <v>503</v>
      </c>
      <c r="B793" s="104" t="s">
        <v>133</v>
      </c>
      <c r="C793" s="104" t="s">
        <v>134</v>
      </c>
      <c r="D793" s="105">
        <f t="shared" si="83"/>
        <v>35585</v>
      </c>
      <c r="E793" s="105">
        <f t="shared" si="83"/>
        <v>0</v>
      </c>
      <c r="F793" s="105">
        <f t="shared" si="83"/>
        <v>35585</v>
      </c>
      <c r="G793" s="92"/>
    </row>
    <row r="794" spans="1:7" ht="13.15" customHeight="1" x14ac:dyDescent="0.2">
      <c r="A794" s="106" t="s">
        <v>503</v>
      </c>
      <c r="B794" s="107" t="s">
        <v>145</v>
      </c>
      <c r="C794" s="107" t="s">
        <v>32</v>
      </c>
      <c r="D794" s="108">
        <f t="shared" si="83"/>
        <v>35585</v>
      </c>
      <c r="E794" s="108">
        <f t="shared" si="83"/>
        <v>0</v>
      </c>
      <c r="F794" s="108">
        <f t="shared" si="83"/>
        <v>35585</v>
      </c>
      <c r="G794" s="92"/>
    </row>
    <row r="795" spans="1:7" ht="13.15" customHeight="1" x14ac:dyDescent="0.2">
      <c r="A795" s="109" t="s">
        <v>503</v>
      </c>
      <c r="B795" s="87" t="s">
        <v>368</v>
      </c>
      <c r="C795" s="87" t="s">
        <v>369</v>
      </c>
      <c r="D795" s="110">
        <v>35585</v>
      </c>
      <c r="E795" s="110"/>
      <c r="F795" s="110">
        <f>SUM(D795:E795)</f>
        <v>35585</v>
      </c>
      <c r="G795" s="92"/>
    </row>
    <row r="796" spans="1:7" ht="13.15" customHeight="1" x14ac:dyDescent="0.2">
      <c r="A796" s="100" t="s">
        <v>505</v>
      </c>
      <c r="B796" s="101"/>
      <c r="C796" s="101" t="s">
        <v>506</v>
      </c>
      <c r="D796" s="102">
        <f t="shared" ref="D796:F797" si="84">+D797</f>
        <v>56580</v>
      </c>
      <c r="E796" s="102">
        <f t="shared" si="84"/>
        <v>-826</v>
      </c>
      <c r="F796" s="102">
        <f t="shared" si="84"/>
        <v>55754</v>
      </c>
      <c r="G796" s="92"/>
    </row>
    <row r="797" spans="1:7" ht="13.15" customHeight="1" x14ac:dyDescent="0.2">
      <c r="A797" s="103" t="s">
        <v>505</v>
      </c>
      <c r="B797" s="104" t="s">
        <v>133</v>
      </c>
      <c r="C797" s="104" t="s">
        <v>134</v>
      </c>
      <c r="D797" s="105">
        <f t="shared" si="84"/>
        <v>56580</v>
      </c>
      <c r="E797" s="105">
        <f t="shared" si="84"/>
        <v>-826</v>
      </c>
      <c r="F797" s="105">
        <f t="shared" si="84"/>
        <v>55754</v>
      </c>
      <c r="G797" s="92"/>
    </row>
    <row r="798" spans="1:7" ht="13.15" customHeight="1" x14ac:dyDescent="0.2">
      <c r="A798" s="106" t="s">
        <v>505</v>
      </c>
      <c r="B798" s="107" t="s">
        <v>145</v>
      </c>
      <c r="C798" s="107" t="s">
        <v>32</v>
      </c>
      <c r="D798" s="108">
        <f>SUM(D800:D801)</f>
        <v>56580</v>
      </c>
      <c r="E798" s="108">
        <f>SUM(E799:E801)</f>
        <v>-826</v>
      </c>
      <c r="F798" s="108">
        <f>SUM(F799:F801)</f>
        <v>55754</v>
      </c>
      <c r="G798" s="92"/>
    </row>
    <row r="799" spans="1:7" ht="13.15" customHeight="1" x14ac:dyDescent="0.2">
      <c r="A799" s="109" t="s">
        <v>505</v>
      </c>
      <c r="B799" s="161">
        <v>5504</v>
      </c>
      <c r="C799" s="87" t="s">
        <v>151</v>
      </c>
      <c r="D799" s="150"/>
      <c r="E799" s="150">
        <f>11475-1731</f>
        <v>9744</v>
      </c>
      <c r="F799" s="110">
        <f>SUM(D799:E799)</f>
        <v>9744</v>
      </c>
      <c r="G799" s="162" t="s">
        <v>507</v>
      </c>
    </row>
    <row r="800" spans="1:7" ht="13.15" customHeight="1" x14ac:dyDescent="0.2">
      <c r="A800" s="109" t="s">
        <v>505</v>
      </c>
      <c r="B800" s="87" t="s">
        <v>437</v>
      </c>
      <c r="C800" s="87" t="s">
        <v>438</v>
      </c>
      <c r="D800" s="110">
        <v>11475</v>
      </c>
      <c r="E800" s="110">
        <v>-11475</v>
      </c>
      <c r="F800" s="110">
        <f>SUM(D800:E800)</f>
        <v>0</v>
      </c>
      <c r="G800" s="92"/>
    </row>
    <row r="801" spans="1:7" ht="13.15" customHeight="1" x14ac:dyDescent="0.2">
      <c r="A801" s="109" t="s">
        <v>505</v>
      </c>
      <c r="B801" s="87" t="s">
        <v>381</v>
      </c>
      <c r="C801" s="87" t="s">
        <v>382</v>
      </c>
      <c r="D801" s="110">
        <v>45105</v>
      </c>
      <c r="E801" s="110">
        <v>905</v>
      </c>
      <c r="F801" s="110">
        <f>SUM(D801:E801)</f>
        <v>46010</v>
      </c>
      <c r="G801" s="92"/>
    </row>
    <row r="802" spans="1:7" ht="13.15" customHeight="1" x14ac:dyDescent="0.2">
      <c r="A802" s="100" t="s">
        <v>508</v>
      </c>
      <c r="B802" s="101"/>
      <c r="C802" s="101" t="s">
        <v>509</v>
      </c>
      <c r="D802" s="102">
        <f t="shared" ref="D802:F803" si="85">+D803</f>
        <v>75440</v>
      </c>
      <c r="E802" s="102">
        <f t="shared" si="85"/>
        <v>16399</v>
      </c>
      <c r="F802" s="102">
        <f t="shared" si="85"/>
        <v>91839</v>
      </c>
      <c r="G802" s="92"/>
    </row>
    <row r="803" spans="1:7" ht="13.15" customHeight="1" x14ac:dyDescent="0.2">
      <c r="A803" s="103" t="s">
        <v>508</v>
      </c>
      <c r="B803" s="104" t="s">
        <v>133</v>
      </c>
      <c r="C803" s="104" t="s">
        <v>134</v>
      </c>
      <c r="D803" s="105">
        <f t="shared" si="85"/>
        <v>75440</v>
      </c>
      <c r="E803" s="105">
        <f t="shared" si="85"/>
        <v>16399</v>
      </c>
      <c r="F803" s="105">
        <f t="shared" si="85"/>
        <v>91839</v>
      </c>
      <c r="G803" s="156" t="s">
        <v>510</v>
      </c>
    </row>
    <row r="804" spans="1:7" ht="13.15" customHeight="1" x14ac:dyDescent="0.2">
      <c r="A804" s="106" t="s">
        <v>508</v>
      </c>
      <c r="B804" s="107" t="s">
        <v>135</v>
      </c>
      <c r="C804" s="107" t="s">
        <v>31</v>
      </c>
      <c r="D804" s="108">
        <f>SUM(D805:D806)</f>
        <v>75440</v>
      </c>
      <c r="E804" s="108">
        <f>SUM(E805:E806)</f>
        <v>16399</v>
      </c>
      <c r="F804" s="108">
        <f>SUM(F805:F806)</f>
        <v>91839</v>
      </c>
      <c r="G804" s="92" t="s">
        <v>511</v>
      </c>
    </row>
    <row r="805" spans="1:7" ht="13.15" customHeight="1" x14ac:dyDescent="0.2">
      <c r="A805" s="109" t="s">
        <v>508</v>
      </c>
      <c r="B805" s="87" t="s">
        <v>138</v>
      </c>
      <c r="C805" s="87" t="s">
        <v>139</v>
      </c>
      <c r="D805" s="110">
        <v>56594</v>
      </c>
      <c r="E805" s="110">
        <f>13081-825</f>
        <v>12256</v>
      </c>
      <c r="F805" s="110">
        <f>SUM(D805:E805)</f>
        <v>68850</v>
      </c>
      <c r="G805" s="92"/>
    </row>
    <row r="806" spans="1:7" ht="13.15" customHeight="1" x14ac:dyDescent="0.2">
      <c r="A806" s="109" t="s">
        <v>508</v>
      </c>
      <c r="B806" s="87" t="s">
        <v>142</v>
      </c>
      <c r="C806" s="87" t="s">
        <v>143</v>
      </c>
      <c r="D806" s="110">
        <v>18846</v>
      </c>
      <c r="E806" s="110">
        <f>4422-279</f>
        <v>4143</v>
      </c>
      <c r="F806" s="110">
        <f>SUM(D806:E806)</f>
        <v>22989</v>
      </c>
      <c r="G806" s="92"/>
    </row>
    <row r="807" spans="1:7" ht="13.15" customHeight="1" x14ac:dyDescent="0.2">
      <c r="A807" s="106" t="s">
        <v>508</v>
      </c>
      <c r="B807" s="107" t="s">
        <v>145</v>
      </c>
      <c r="C807" s="107" t="s">
        <v>32</v>
      </c>
      <c r="D807" s="108">
        <v>0</v>
      </c>
      <c r="E807" s="108">
        <v>0</v>
      </c>
      <c r="F807" s="108">
        <v>0</v>
      </c>
      <c r="G807" s="92"/>
    </row>
    <row r="808" spans="1:7" ht="13.15" customHeight="1" x14ac:dyDescent="0.2">
      <c r="A808" s="109" t="s">
        <v>508</v>
      </c>
      <c r="B808" s="87" t="s">
        <v>381</v>
      </c>
      <c r="C808" s="87" t="s">
        <v>382</v>
      </c>
      <c r="D808" s="110">
        <v>0</v>
      </c>
      <c r="E808" s="110"/>
      <c r="F808" s="110">
        <f>SUM(D808:E808)</f>
        <v>0</v>
      </c>
      <c r="G808" s="92"/>
    </row>
    <row r="809" spans="1:7" ht="13.15" customHeight="1" x14ac:dyDescent="0.2">
      <c r="A809" s="100" t="s">
        <v>512</v>
      </c>
      <c r="B809" s="101"/>
      <c r="C809" s="101" t="s">
        <v>513</v>
      </c>
      <c r="D809" s="102">
        <f t="shared" ref="D809:F810" si="86">+D810</f>
        <v>909334</v>
      </c>
      <c r="E809" s="102">
        <f t="shared" si="86"/>
        <v>121403</v>
      </c>
      <c r="F809" s="102">
        <f t="shared" si="86"/>
        <v>1030737</v>
      </c>
      <c r="G809" s="92"/>
    </row>
    <row r="810" spans="1:7" ht="13.15" customHeight="1" x14ac:dyDescent="0.2">
      <c r="A810" s="103" t="s">
        <v>512</v>
      </c>
      <c r="B810" s="104" t="s">
        <v>133</v>
      </c>
      <c r="C810" s="104" t="s">
        <v>134</v>
      </c>
      <c r="D810" s="105">
        <f t="shared" si="86"/>
        <v>909334</v>
      </c>
      <c r="E810" s="105">
        <f t="shared" si="86"/>
        <v>121403</v>
      </c>
      <c r="F810" s="105">
        <f t="shared" si="86"/>
        <v>1030737</v>
      </c>
      <c r="G810" s="92"/>
    </row>
    <row r="811" spans="1:7" ht="13.15" customHeight="1" x14ac:dyDescent="0.2">
      <c r="A811" s="106" t="s">
        <v>512</v>
      </c>
      <c r="B811" s="107" t="s">
        <v>135</v>
      </c>
      <c r="C811" s="107" t="s">
        <v>31</v>
      </c>
      <c r="D811" s="108">
        <f>SUM(D812:D813)</f>
        <v>909334</v>
      </c>
      <c r="E811" s="108">
        <f>SUM(E812:E813)</f>
        <v>121403</v>
      </c>
      <c r="F811" s="108">
        <f>SUM(F812:F813)</f>
        <v>1030737</v>
      </c>
      <c r="G811" s="92"/>
    </row>
    <row r="812" spans="1:7" ht="13.15" customHeight="1" x14ac:dyDescent="0.2">
      <c r="A812" s="109" t="s">
        <v>512</v>
      </c>
      <c r="B812" s="87" t="s">
        <v>138</v>
      </c>
      <c r="C812" s="87" t="s">
        <v>139</v>
      </c>
      <c r="D812" s="110">
        <v>679622</v>
      </c>
      <c r="E812" s="110">
        <v>90735</v>
      </c>
      <c r="F812" s="110">
        <f>SUM(D812:E812)</f>
        <v>770357</v>
      </c>
      <c r="G812" s="92"/>
    </row>
    <row r="813" spans="1:7" ht="13.15" customHeight="1" x14ac:dyDescent="0.2">
      <c r="A813" s="109" t="s">
        <v>512</v>
      </c>
      <c r="B813" s="87" t="s">
        <v>142</v>
      </c>
      <c r="C813" s="87" t="s">
        <v>143</v>
      </c>
      <c r="D813" s="110">
        <v>229712</v>
      </c>
      <c r="E813" s="110">
        <v>30668</v>
      </c>
      <c r="F813" s="110">
        <f>SUM(D813:E813)</f>
        <v>260380</v>
      </c>
      <c r="G813" s="92"/>
    </row>
    <row r="814" spans="1:7" ht="13.15" customHeight="1" x14ac:dyDescent="0.2">
      <c r="A814" s="100" t="s">
        <v>514</v>
      </c>
      <c r="B814" s="101"/>
      <c r="C814" s="101" t="s">
        <v>515</v>
      </c>
      <c r="D814" s="102">
        <f t="shared" ref="D814:F815" si="87">+D815</f>
        <v>244616</v>
      </c>
      <c r="E814" s="102">
        <f t="shared" si="87"/>
        <v>-50970</v>
      </c>
      <c r="F814" s="102">
        <f t="shared" si="87"/>
        <v>193646</v>
      </c>
      <c r="G814" s="92"/>
    </row>
    <row r="815" spans="1:7" ht="13.15" customHeight="1" x14ac:dyDescent="0.2">
      <c r="A815" s="103" t="s">
        <v>514</v>
      </c>
      <c r="B815" s="104" t="s">
        <v>133</v>
      </c>
      <c r="C815" s="104" t="s">
        <v>134</v>
      </c>
      <c r="D815" s="105">
        <f t="shared" si="87"/>
        <v>244616</v>
      </c>
      <c r="E815" s="105">
        <f t="shared" si="87"/>
        <v>-50970</v>
      </c>
      <c r="F815" s="105">
        <f t="shared" si="87"/>
        <v>193646</v>
      </c>
      <c r="G815" s="92"/>
    </row>
    <row r="816" spans="1:7" ht="13.15" customHeight="1" x14ac:dyDescent="0.2">
      <c r="A816" s="106" t="s">
        <v>514</v>
      </c>
      <c r="B816" s="107" t="s">
        <v>135</v>
      </c>
      <c r="C816" s="107" t="s">
        <v>31</v>
      </c>
      <c r="D816" s="108">
        <f>SUM(D817:D818)</f>
        <v>244616</v>
      </c>
      <c r="E816" s="108">
        <f>SUM(E817:E818)</f>
        <v>-50970</v>
      </c>
      <c r="F816" s="108">
        <f>SUM(F817:F818)</f>
        <v>193646</v>
      </c>
      <c r="G816" s="92"/>
    </row>
    <row r="817" spans="1:7" ht="13.15" customHeight="1" x14ac:dyDescent="0.2">
      <c r="A817" s="109" t="s">
        <v>514</v>
      </c>
      <c r="B817" s="87" t="s">
        <v>138</v>
      </c>
      <c r="C817" s="87" t="s">
        <v>139</v>
      </c>
      <c r="D817" s="110">
        <v>182822</v>
      </c>
      <c r="E817" s="110">
        <v>-38094</v>
      </c>
      <c r="F817" s="110">
        <f>SUM(D817:E817)</f>
        <v>144728</v>
      </c>
      <c r="G817" s="92"/>
    </row>
    <row r="818" spans="1:7" ht="13.15" customHeight="1" x14ac:dyDescent="0.2">
      <c r="A818" s="109" t="s">
        <v>514</v>
      </c>
      <c r="B818" s="87" t="s">
        <v>142</v>
      </c>
      <c r="C818" s="87" t="s">
        <v>143</v>
      </c>
      <c r="D818" s="110">
        <v>61794</v>
      </c>
      <c r="E818" s="110">
        <v>-12876</v>
      </c>
      <c r="F818" s="110">
        <f>SUM(D818:E818)</f>
        <v>48918</v>
      </c>
      <c r="G818" s="92"/>
    </row>
    <row r="819" spans="1:7" ht="13.15" customHeight="1" x14ac:dyDescent="0.2">
      <c r="A819" s="100" t="s">
        <v>516</v>
      </c>
      <c r="B819" s="101"/>
      <c r="C819" s="101" t="s">
        <v>517</v>
      </c>
      <c r="D819" s="102">
        <f t="shared" ref="D819:F820" si="88">+D820</f>
        <v>114661</v>
      </c>
      <c r="E819" s="102">
        <f t="shared" si="88"/>
        <v>-2186</v>
      </c>
      <c r="F819" s="102">
        <f t="shared" si="88"/>
        <v>112475</v>
      </c>
      <c r="G819" s="92"/>
    </row>
    <row r="820" spans="1:7" ht="13.15" customHeight="1" x14ac:dyDescent="0.2">
      <c r="A820" s="103" t="s">
        <v>516</v>
      </c>
      <c r="B820" s="104" t="s">
        <v>133</v>
      </c>
      <c r="C820" s="104" t="s">
        <v>134</v>
      </c>
      <c r="D820" s="105">
        <f t="shared" si="88"/>
        <v>114661</v>
      </c>
      <c r="E820" s="105">
        <f t="shared" si="88"/>
        <v>-2186</v>
      </c>
      <c r="F820" s="105">
        <f t="shared" si="88"/>
        <v>112475</v>
      </c>
      <c r="G820" s="92"/>
    </row>
    <row r="821" spans="1:7" ht="13.15" customHeight="1" x14ac:dyDescent="0.2">
      <c r="A821" s="106" t="s">
        <v>516</v>
      </c>
      <c r="B821" s="107" t="s">
        <v>145</v>
      </c>
      <c r="C821" s="107" t="s">
        <v>32</v>
      </c>
      <c r="D821" s="108">
        <f>SUM(D822:D822)</f>
        <v>114661</v>
      </c>
      <c r="E821" s="108">
        <f>SUM(E822:E822)</f>
        <v>-2186</v>
      </c>
      <c r="F821" s="108">
        <f>SUM(F822:F822)</f>
        <v>112475</v>
      </c>
      <c r="G821" s="92"/>
    </row>
    <row r="822" spans="1:7" ht="13.15" customHeight="1" x14ac:dyDescent="0.2">
      <c r="A822" s="109" t="s">
        <v>516</v>
      </c>
      <c r="B822" s="87" t="s">
        <v>368</v>
      </c>
      <c r="C822" s="87" t="s">
        <v>369</v>
      </c>
      <c r="D822" s="110">
        <f>111794+2867</f>
        <v>114661</v>
      </c>
      <c r="E822" s="110">
        <f>-1912-274</f>
        <v>-2186</v>
      </c>
      <c r="F822" s="110">
        <f>SUM(D822:E822)</f>
        <v>112475</v>
      </c>
      <c r="G822" s="92"/>
    </row>
    <row r="823" spans="1:7" ht="13.15" customHeight="1" x14ac:dyDescent="0.2">
      <c r="A823" s="157" t="s">
        <v>518</v>
      </c>
      <c r="B823" s="158"/>
      <c r="C823" s="158" t="s">
        <v>519</v>
      </c>
      <c r="D823" s="159">
        <f t="shared" ref="D823:F823" si="89">+D824+D858+D862+D871+D876+D886+D893</f>
        <v>2034006.8360000001</v>
      </c>
      <c r="E823" s="159">
        <f t="shared" si="89"/>
        <v>61025</v>
      </c>
      <c r="F823" s="159">
        <f t="shared" si="89"/>
        <v>2095031.8360000001</v>
      </c>
      <c r="G823" s="92"/>
    </row>
    <row r="824" spans="1:7" ht="13.15" customHeight="1" x14ac:dyDescent="0.2">
      <c r="A824" s="100" t="s">
        <v>520</v>
      </c>
      <c r="B824" s="101"/>
      <c r="C824" s="101" t="s">
        <v>521</v>
      </c>
      <c r="D824" s="102">
        <f>D825+D828</f>
        <v>522730.83600000001</v>
      </c>
      <c r="E824" s="102">
        <f>E825+E828</f>
        <v>56071</v>
      </c>
      <c r="F824" s="102">
        <f>F825+F828</f>
        <v>578801.83600000001</v>
      </c>
      <c r="G824" s="92"/>
    </row>
    <row r="825" spans="1:7" ht="13.15" customHeight="1" x14ac:dyDescent="0.2">
      <c r="A825" s="103" t="s">
        <v>520</v>
      </c>
      <c r="B825" s="104" t="s">
        <v>127</v>
      </c>
      <c r="C825" s="104" t="s">
        <v>128</v>
      </c>
      <c r="D825" s="105">
        <f t="shared" ref="D825:F826" si="90">D826</f>
        <v>0</v>
      </c>
      <c r="E825" s="105">
        <f t="shared" si="90"/>
        <v>22000</v>
      </c>
      <c r="F825" s="105">
        <f t="shared" si="90"/>
        <v>22000</v>
      </c>
      <c r="G825" s="92"/>
    </row>
    <row r="826" spans="1:7" ht="13.15" customHeight="1" x14ac:dyDescent="0.2">
      <c r="A826" s="106" t="s">
        <v>520</v>
      </c>
      <c r="B826" s="107" t="s">
        <v>129</v>
      </c>
      <c r="C826" s="107" t="s">
        <v>130</v>
      </c>
      <c r="D826" s="108">
        <f t="shared" si="90"/>
        <v>0</v>
      </c>
      <c r="E826" s="108">
        <f t="shared" si="90"/>
        <v>22000</v>
      </c>
      <c r="F826" s="108">
        <f t="shared" si="90"/>
        <v>22000</v>
      </c>
      <c r="G826" s="92"/>
    </row>
    <row r="827" spans="1:7" ht="13.15" customHeight="1" x14ac:dyDescent="0.2">
      <c r="A827" s="109" t="s">
        <v>520</v>
      </c>
      <c r="B827" s="87" t="s">
        <v>163</v>
      </c>
      <c r="C827" s="87" t="s">
        <v>164</v>
      </c>
      <c r="D827" s="110">
        <v>0</v>
      </c>
      <c r="E827" s="110">
        <f>12000+5000+5000</f>
        <v>22000</v>
      </c>
      <c r="F827" s="110">
        <f>SUM(D827:E827)</f>
        <v>22000</v>
      </c>
      <c r="G827" s="92" t="s">
        <v>522</v>
      </c>
    </row>
    <row r="828" spans="1:7" ht="13.15" customHeight="1" x14ac:dyDescent="0.2">
      <c r="A828" s="103" t="s">
        <v>520</v>
      </c>
      <c r="B828" s="104" t="s">
        <v>133</v>
      </c>
      <c r="C828" s="104" t="s">
        <v>134</v>
      </c>
      <c r="D828" s="105">
        <f>D829+D834</f>
        <v>522730.83600000001</v>
      </c>
      <c r="E828" s="105">
        <f>E829+E834</f>
        <v>34071</v>
      </c>
      <c r="F828" s="105">
        <f>F829+F834</f>
        <v>556801.83600000001</v>
      </c>
      <c r="G828" s="92"/>
    </row>
    <row r="829" spans="1:7" ht="13.15" customHeight="1" x14ac:dyDescent="0.2">
      <c r="A829" s="106" t="s">
        <v>520</v>
      </c>
      <c r="B829" s="107" t="s">
        <v>135</v>
      </c>
      <c r="C829" s="107" t="s">
        <v>31</v>
      </c>
      <c r="D829" s="108">
        <f>SUM(D830:D833)</f>
        <v>325907.83600000001</v>
      </c>
      <c r="E829" s="108">
        <f>SUM(E830:E833)</f>
        <v>-929</v>
      </c>
      <c r="F829" s="108">
        <f>SUM(F830:F833)</f>
        <v>324978.83600000001</v>
      </c>
      <c r="G829" s="92"/>
    </row>
    <row r="830" spans="1:7" ht="13.15" customHeight="1" x14ac:dyDescent="0.2">
      <c r="A830" s="109" t="s">
        <v>520</v>
      </c>
      <c r="B830" s="87" t="s">
        <v>138</v>
      </c>
      <c r="C830" s="87" t="s">
        <v>139</v>
      </c>
      <c r="D830" s="110">
        <v>244492</v>
      </c>
      <c r="E830" s="110">
        <f>-2000-1608</f>
        <v>-3608</v>
      </c>
      <c r="F830" s="110">
        <f>SUM(D830:E830)</f>
        <v>240884</v>
      </c>
      <c r="G830" s="92" t="s">
        <v>523</v>
      </c>
    </row>
    <row r="831" spans="1:7" ht="13.15" customHeight="1" x14ac:dyDescent="0.2">
      <c r="A831" s="109" t="s">
        <v>520</v>
      </c>
      <c r="B831" s="87" t="s">
        <v>174</v>
      </c>
      <c r="C831" s="87" t="s">
        <v>175</v>
      </c>
      <c r="D831" s="110"/>
      <c r="E831" s="110">
        <v>2000</v>
      </c>
      <c r="F831" s="110">
        <f>SUM(D831:E831)</f>
        <v>2000</v>
      </c>
      <c r="G831" s="92" t="s">
        <v>524</v>
      </c>
    </row>
    <row r="832" spans="1:7" ht="13.15" customHeight="1" x14ac:dyDescent="0.2">
      <c r="A832" s="109" t="s">
        <v>520</v>
      </c>
      <c r="B832" s="87" t="s">
        <v>140</v>
      </c>
      <c r="C832" s="87" t="s">
        <v>141</v>
      </c>
      <c r="D832" s="110"/>
      <c r="E832" s="110"/>
      <c r="F832" s="110">
        <f>SUM(D832:E832)</f>
        <v>0</v>
      </c>
      <c r="G832" s="92"/>
    </row>
    <row r="833" spans="1:7" ht="13.15" customHeight="1" x14ac:dyDescent="0.2">
      <c r="A833" s="109" t="s">
        <v>520</v>
      </c>
      <c r="B833" s="87" t="s">
        <v>142</v>
      </c>
      <c r="C833" s="87" t="s">
        <v>143</v>
      </c>
      <c r="D833" s="110">
        <f>D830*0.333</f>
        <v>81415.83600000001</v>
      </c>
      <c r="E833" s="110">
        <v>679</v>
      </c>
      <c r="F833" s="110">
        <f>SUM(D833:E833)</f>
        <v>82094.83600000001</v>
      </c>
      <c r="G833" s="89" t="s">
        <v>144</v>
      </c>
    </row>
    <row r="834" spans="1:7" ht="13.15" customHeight="1" x14ac:dyDescent="0.2">
      <c r="A834" s="106" t="s">
        <v>520</v>
      </c>
      <c r="B834" s="107" t="s">
        <v>145</v>
      </c>
      <c r="C834" s="107" t="s">
        <v>32</v>
      </c>
      <c r="D834" s="108">
        <f>SUM(D835:D857)-D839</f>
        <v>196823</v>
      </c>
      <c r="E834" s="108">
        <f>SUM(E835:E857)-E839</f>
        <v>35000</v>
      </c>
      <c r="F834" s="108">
        <f>SUM(F835:F857)-F839</f>
        <v>231823</v>
      </c>
      <c r="G834" s="92"/>
    </row>
    <row r="835" spans="1:7" ht="13.15" customHeight="1" x14ac:dyDescent="0.2">
      <c r="A835" s="109" t="s">
        <v>520</v>
      </c>
      <c r="B835" s="87" t="s">
        <v>146</v>
      </c>
      <c r="C835" s="87" t="s">
        <v>147</v>
      </c>
      <c r="D835" s="110">
        <v>5140</v>
      </c>
      <c r="E835" s="110"/>
      <c r="F835" s="110">
        <f>SUM(D835:E835)</f>
        <v>5140</v>
      </c>
      <c r="G835" s="92"/>
    </row>
    <row r="836" spans="1:7" ht="13.15" customHeight="1" x14ac:dyDescent="0.2">
      <c r="A836" s="109" t="s">
        <v>520</v>
      </c>
      <c r="B836" s="87" t="s">
        <v>148</v>
      </c>
      <c r="C836" s="87" t="s">
        <v>149</v>
      </c>
      <c r="D836" s="110">
        <v>1700</v>
      </c>
      <c r="E836" s="110"/>
      <c r="F836" s="110">
        <f>SUM(D836:E836)</f>
        <v>1700</v>
      </c>
      <c r="G836" s="92"/>
    </row>
    <row r="837" spans="1:7" ht="13.15" customHeight="1" x14ac:dyDescent="0.2">
      <c r="A837" s="109" t="s">
        <v>520</v>
      </c>
      <c r="B837" s="87" t="s">
        <v>150</v>
      </c>
      <c r="C837" s="87" t="s">
        <v>151</v>
      </c>
      <c r="D837" s="110">
        <v>1500</v>
      </c>
      <c r="E837" s="110"/>
      <c r="F837" s="110">
        <f>SUM(D837:E837)</f>
        <v>1500</v>
      </c>
      <c r="G837" s="92"/>
    </row>
    <row r="838" spans="1:7" ht="13.15" customHeight="1" x14ac:dyDescent="0.2">
      <c r="A838" s="109" t="s">
        <v>520</v>
      </c>
      <c r="B838" s="87" t="s">
        <v>437</v>
      </c>
      <c r="C838" s="87" t="s">
        <v>438</v>
      </c>
      <c r="D838" s="110"/>
      <c r="E838" s="110"/>
      <c r="F838" s="110">
        <f>SUM(D838:E838)</f>
        <v>0</v>
      </c>
      <c r="G838" s="92"/>
    </row>
    <row r="839" spans="1:7" ht="13.15" customHeight="1" x14ac:dyDescent="0.2">
      <c r="A839" s="111" t="s">
        <v>520</v>
      </c>
      <c r="B839" s="112" t="s">
        <v>176</v>
      </c>
      <c r="C839" s="112" t="s">
        <v>177</v>
      </c>
      <c r="D839" s="113">
        <f>SUM(D840:D849)</f>
        <v>125500</v>
      </c>
      <c r="E839" s="113">
        <f>SUM(E840:E849)</f>
        <v>0</v>
      </c>
      <c r="F839" s="113">
        <f>SUM(F840:F849)</f>
        <v>125500</v>
      </c>
      <c r="G839" s="92"/>
    </row>
    <row r="840" spans="1:7" ht="13.15" customHeight="1" x14ac:dyDescent="0.2">
      <c r="A840" s="114" t="s">
        <v>520</v>
      </c>
      <c r="B840" s="115" t="s">
        <v>178</v>
      </c>
      <c r="C840" s="115" t="s">
        <v>179</v>
      </c>
      <c r="D840" s="116">
        <v>49400</v>
      </c>
      <c r="E840" s="116"/>
      <c r="F840" s="116">
        <f t="shared" ref="F840:F857" si="91">SUM(D840:E840)</f>
        <v>49400</v>
      </c>
      <c r="G840" s="92"/>
    </row>
    <row r="841" spans="1:7" ht="13.15" customHeight="1" x14ac:dyDescent="0.2">
      <c r="A841" s="114" t="s">
        <v>520</v>
      </c>
      <c r="B841" s="115" t="s">
        <v>180</v>
      </c>
      <c r="C841" s="115" t="s">
        <v>75</v>
      </c>
      <c r="D841" s="116">
        <v>33800</v>
      </c>
      <c r="E841" s="116"/>
      <c r="F841" s="116">
        <f t="shared" si="91"/>
        <v>33800</v>
      </c>
      <c r="G841" s="92"/>
    </row>
    <row r="842" spans="1:7" ht="13.15" customHeight="1" x14ac:dyDescent="0.2">
      <c r="A842" s="114" t="s">
        <v>520</v>
      </c>
      <c r="B842" s="115" t="s">
        <v>181</v>
      </c>
      <c r="C842" s="115" t="s">
        <v>182</v>
      </c>
      <c r="D842" s="116">
        <v>6500</v>
      </c>
      <c r="E842" s="116"/>
      <c r="F842" s="116">
        <f t="shared" si="91"/>
        <v>6500</v>
      </c>
      <c r="G842" s="92"/>
    </row>
    <row r="843" spans="1:7" ht="13.15" customHeight="1" x14ac:dyDescent="0.2">
      <c r="A843" s="114" t="s">
        <v>520</v>
      </c>
      <c r="B843" s="115" t="s">
        <v>183</v>
      </c>
      <c r="C843" s="115" t="s">
        <v>184</v>
      </c>
      <c r="D843" s="116">
        <v>6000</v>
      </c>
      <c r="E843" s="116"/>
      <c r="F843" s="116">
        <f t="shared" si="91"/>
        <v>6000</v>
      </c>
      <c r="G843" s="92"/>
    </row>
    <row r="844" spans="1:7" ht="13.15" customHeight="1" x14ac:dyDescent="0.2">
      <c r="A844" s="114" t="s">
        <v>520</v>
      </c>
      <c r="B844" s="115" t="s">
        <v>185</v>
      </c>
      <c r="C844" s="115" t="s">
        <v>186</v>
      </c>
      <c r="D844" s="116">
        <v>15000</v>
      </c>
      <c r="E844" s="116"/>
      <c r="F844" s="116">
        <f t="shared" si="91"/>
        <v>15000</v>
      </c>
      <c r="G844" s="92"/>
    </row>
    <row r="845" spans="1:7" ht="13.15" customHeight="1" x14ac:dyDescent="0.2">
      <c r="A845" s="114" t="s">
        <v>520</v>
      </c>
      <c r="B845" s="115" t="s">
        <v>187</v>
      </c>
      <c r="C845" s="115" t="s">
        <v>188</v>
      </c>
      <c r="D845" s="116">
        <v>3700</v>
      </c>
      <c r="E845" s="116"/>
      <c r="F845" s="116">
        <f t="shared" si="91"/>
        <v>3700</v>
      </c>
      <c r="G845" s="92"/>
    </row>
    <row r="846" spans="1:7" ht="13.15" customHeight="1" x14ac:dyDescent="0.2">
      <c r="A846" s="114" t="s">
        <v>520</v>
      </c>
      <c r="B846" s="115" t="s">
        <v>189</v>
      </c>
      <c r="C846" s="115" t="s">
        <v>190</v>
      </c>
      <c r="D846" s="116">
        <v>5500</v>
      </c>
      <c r="E846" s="116"/>
      <c r="F846" s="116">
        <f t="shared" si="91"/>
        <v>5500</v>
      </c>
      <c r="G846" s="92"/>
    </row>
    <row r="847" spans="1:7" ht="13.15" customHeight="1" x14ac:dyDescent="0.2">
      <c r="A847" s="114" t="s">
        <v>520</v>
      </c>
      <c r="B847" s="115" t="s">
        <v>191</v>
      </c>
      <c r="C847" s="115" t="s">
        <v>192</v>
      </c>
      <c r="D847" s="116">
        <v>2800</v>
      </c>
      <c r="E847" s="116"/>
      <c r="F847" s="116">
        <f t="shared" si="91"/>
        <v>2800</v>
      </c>
      <c r="G847" s="92"/>
    </row>
    <row r="848" spans="1:7" ht="13.15" customHeight="1" x14ac:dyDescent="0.2">
      <c r="A848" s="114" t="s">
        <v>520</v>
      </c>
      <c r="B848" s="115" t="s">
        <v>193</v>
      </c>
      <c r="C848" s="115" t="s">
        <v>194</v>
      </c>
      <c r="D848" s="116">
        <v>2800</v>
      </c>
      <c r="E848" s="116"/>
      <c r="F848" s="116">
        <f t="shared" si="91"/>
        <v>2800</v>
      </c>
      <c r="G848" s="92"/>
    </row>
    <row r="849" spans="1:7" ht="13.15" customHeight="1" x14ac:dyDescent="0.2">
      <c r="A849" s="114" t="s">
        <v>520</v>
      </c>
      <c r="B849" s="115" t="s">
        <v>316</v>
      </c>
      <c r="C849" s="115" t="s">
        <v>317</v>
      </c>
      <c r="D849" s="116"/>
      <c r="E849" s="116"/>
      <c r="F849" s="116">
        <f t="shared" si="91"/>
        <v>0</v>
      </c>
      <c r="G849" s="92"/>
    </row>
    <row r="850" spans="1:7" ht="13.15" customHeight="1" x14ac:dyDescent="0.2">
      <c r="A850" s="109" t="s">
        <v>520</v>
      </c>
      <c r="B850" s="87" t="s">
        <v>152</v>
      </c>
      <c r="C850" s="87" t="s">
        <v>153</v>
      </c>
      <c r="D850" s="110">
        <v>2600</v>
      </c>
      <c r="E850" s="110"/>
      <c r="F850" s="110">
        <f t="shared" si="91"/>
        <v>2600</v>
      </c>
      <c r="G850" s="92"/>
    </row>
    <row r="851" spans="1:7" ht="13.15" customHeight="1" x14ac:dyDescent="0.2">
      <c r="A851" s="109" t="s">
        <v>520</v>
      </c>
      <c r="B851" s="87" t="s">
        <v>154</v>
      </c>
      <c r="C851" s="87" t="s">
        <v>155</v>
      </c>
      <c r="D851" s="110">
        <v>28030</v>
      </c>
      <c r="E851" s="110">
        <f>20000+10000</f>
        <v>30000</v>
      </c>
      <c r="F851" s="110">
        <f t="shared" si="91"/>
        <v>58030</v>
      </c>
      <c r="G851" s="92" t="s">
        <v>525</v>
      </c>
    </row>
    <row r="852" spans="1:7" ht="13.15" customHeight="1" x14ac:dyDescent="0.2">
      <c r="A852" s="109" t="s">
        <v>520</v>
      </c>
      <c r="B852" s="87" t="s">
        <v>156</v>
      </c>
      <c r="C852" s="87" t="s">
        <v>157</v>
      </c>
      <c r="D852" s="110">
        <v>12553</v>
      </c>
      <c r="E852" s="110">
        <v>5000</v>
      </c>
      <c r="F852" s="110">
        <f t="shared" si="91"/>
        <v>17553</v>
      </c>
      <c r="G852" s="92" t="s">
        <v>526</v>
      </c>
    </row>
    <row r="853" spans="1:7" ht="13.15" customHeight="1" x14ac:dyDescent="0.2">
      <c r="A853" s="109" t="s">
        <v>520</v>
      </c>
      <c r="B853" s="87" t="s">
        <v>368</v>
      </c>
      <c r="C853" s="87" t="s">
        <v>369</v>
      </c>
      <c r="D853" s="110"/>
      <c r="E853" s="110"/>
      <c r="F853" s="110">
        <f t="shared" si="91"/>
        <v>0</v>
      </c>
      <c r="G853" s="92"/>
    </row>
    <row r="854" spans="1:7" ht="13.15" customHeight="1" x14ac:dyDescent="0.2">
      <c r="A854" s="109" t="s">
        <v>520</v>
      </c>
      <c r="B854" s="87" t="s">
        <v>158</v>
      </c>
      <c r="C854" s="87" t="s">
        <v>159</v>
      </c>
      <c r="D854" s="110">
        <v>600</v>
      </c>
      <c r="E854" s="110"/>
      <c r="F854" s="110">
        <f t="shared" si="91"/>
        <v>600</v>
      </c>
      <c r="G854" s="92"/>
    </row>
    <row r="855" spans="1:7" ht="13.15" customHeight="1" x14ac:dyDescent="0.2">
      <c r="A855" s="109" t="s">
        <v>520</v>
      </c>
      <c r="B855" s="87" t="s">
        <v>381</v>
      </c>
      <c r="C855" s="87" t="s">
        <v>382</v>
      </c>
      <c r="D855" s="110">
        <v>9700</v>
      </c>
      <c r="E855" s="110"/>
      <c r="F855" s="110">
        <f t="shared" si="91"/>
        <v>9700</v>
      </c>
      <c r="G855" s="92"/>
    </row>
    <row r="856" spans="1:7" ht="13.15" customHeight="1" x14ac:dyDescent="0.2">
      <c r="A856" s="109" t="s">
        <v>520</v>
      </c>
      <c r="B856" s="87" t="s">
        <v>195</v>
      </c>
      <c r="C856" s="87" t="s">
        <v>196</v>
      </c>
      <c r="D856" s="110">
        <v>3000</v>
      </c>
      <c r="E856" s="110"/>
      <c r="F856" s="110">
        <f t="shared" si="91"/>
        <v>3000</v>
      </c>
      <c r="G856" s="92"/>
    </row>
    <row r="857" spans="1:7" ht="13.15" customHeight="1" x14ac:dyDescent="0.2">
      <c r="A857" s="109" t="s">
        <v>520</v>
      </c>
      <c r="B857" s="87" t="s">
        <v>199</v>
      </c>
      <c r="C857" s="87" t="s">
        <v>200</v>
      </c>
      <c r="D857" s="110">
        <v>6500</v>
      </c>
      <c r="E857" s="110"/>
      <c r="F857" s="110">
        <f t="shared" si="91"/>
        <v>6500</v>
      </c>
      <c r="G857" s="92"/>
    </row>
    <row r="858" spans="1:7" ht="13.15" customHeight="1" x14ac:dyDescent="0.2">
      <c r="A858" s="100" t="s">
        <v>527</v>
      </c>
      <c r="B858" s="101"/>
      <c r="C858" s="101" t="s">
        <v>528</v>
      </c>
      <c r="D858" s="102">
        <f t="shared" ref="D858:F860" si="92">D859</f>
        <v>34367</v>
      </c>
      <c r="E858" s="102">
        <f t="shared" si="92"/>
        <v>0</v>
      </c>
      <c r="F858" s="102">
        <f t="shared" si="92"/>
        <v>34367</v>
      </c>
      <c r="G858" s="92"/>
    </row>
    <row r="859" spans="1:7" ht="13.15" customHeight="1" x14ac:dyDescent="0.2">
      <c r="A859" s="103" t="s">
        <v>527</v>
      </c>
      <c r="B859" s="104" t="s">
        <v>133</v>
      </c>
      <c r="C859" s="104" t="s">
        <v>134</v>
      </c>
      <c r="D859" s="105">
        <f t="shared" si="92"/>
        <v>34367</v>
      </c>
      <c r="E859" s="105">
        <f t="shared" si="92"/>
        <v>0</v>
      </c>
      <c r="F859" s="105">
        <f t="shared" si="92"/>
        <v>34367</v>
      </c>
      <c r="G859" s="92"/>
    </row>
    <row r="860" spans="1:7" ht="13.15" customHeight="1" x14ac:dyDescent="0.2">
      <c r="A860" s="106" t="s">
        <v>527</v>
      </c>
      <c r="B860" s="107" t="s">
        <v>145</v>
      </c>
      <c r="C860" s="107" t="s">
        <v>32</v>
      </c>
      <c r="D860" s="108">
        <f t="shared" si="92"/>
        <v>34367</v>
      </c>
      <c r="E860" s="108">
        <f t="shared" si="92"/>
        <v>0</v>
      </c>
      <c r="F860" s="108">
        <f t="shared" si="92"/>
        <v>34367</v>
      </c>
      <c r="G860" s="92"/>
    </row>
    <row r="861" spans="1:7" ht="13.15" customHeight="1" x14ac:dyDescent="0.2">
      <c r="A861" s="109" t="s">
        <v>527</v>
      </c>
      <c r="B861" s="87" t="s">
        <v>368</v>
      </c>
      <c r="C861" s="87" t="s">
        <v>369</v>
      </c>
      <c r="D861" s="110">
        <v>34367</v>
      </c>
      <c r="E861" s="110"/>
      <c r="F861" s="110">
        <f>SUM(D861:E861)</f>
        <v>34367</v>
      </c>
      <c r="G861" s="92"/>
    </row>
    <row r="862" spans="1:7" ht="13.15" customHeight="1" x14ac:dyDescent="0.2">
      <c r="A862" s="100" t="s">
        <v>529</v>
      </c>
      <c r="B862" s="101"/>
      <c r="C862" s="101" t="s">
        <v>530</v>
      </c>
      <c r="D862" s="102">
        <f>+D863</f>
        <v>62859</v>
      </c>
      <c r="E862" s="102">
        <f>+E863</f>
        <v>-153</v>
      </c>
      <c r="F862" s="102">
        <f>+F863</f>
        <v>62706</v>
      </c>
      <c r="G862" s="92"/>
    </row>
    <row r="863" spans="1:7" ht="13.15" customHeight="1" x14ac:dyDescent="0.2">
      <c r="A863" s="103" t="s">
        <v>529</v>
      </c>
      <c r="B863" s="104" t="s">
        <v>133</v>
      </c>
      <c r="C863" s="104" t="s">
        <v>134</v>
      </c>
      <c r="D863" s="105">
        <f>+D864+D866</f>
        <v>62859</v>
      </c>
      <c r="E863" s="105">
        <f>+E864+E866</f>
        <v>-153</v>
      </c>
      <c r="F863" s="105">
        <f>+F864+F866</f>
        <v>62706</v>
      </c>
      <c r="G863" s="92"/>
    </row>
    <row r="864" spans="1:7" ht="13.15" customHeight="1" x14ac:dyDescent="0.2">
      <c r="A864" s="106" t="s">
        <v>529</v>
      </c>
      <c r="B864" s="107" t="s">
        <v>135</v>
      </c>
      <c r="C864" s="107" t="s">
        <v>31</v>
      </c>
      <c r="D864" s="108">
        <f>+D865</f>
        <v>0</v>
      </c>
      <c r="E864" s="108">
        <f>+E865</f>
        <v>0</v>
      </c>
      <c r="F864" s="108">
        <f>+F865</f>
        <v>0</v>
      </c>
      <c r="G864" s="92"/>
    </row>
    <row r="865" spans="1:7" ht="13.15" customHeight="1" x14ac:dyDescent="0.2">
      <c r="A865" s="109" t="s">
        <v>529</v>
      </c>
      <c r="B865" s="87" t="s">
        <v>138</v>
      </c>
      <c r="C865" s="87" t="s">
        <v>139</v>
      </c>
      <c r="D865" s="110">
        <v>0</v>
      </c>
      <c r="E865" s="110"/>
      <c r="F865" s="110">
        <f>SUM(D865:E865)</f>
        <v>0</v>
      </c>
      <c r="G865" s="92"/>
    </row>
    <row r="866" spans="1:7" ht="13.15" customHeight="1" x14ac:dyDescent="0.2">
      <c r="A866" s="106" t="s">
        <v>529</v>
      </c>
      <c r="B866" s="107" t="s">
        <v>145</v>
      </c>
      <c r="C866" s="107" t="s">
        <v>32</v>
      </c>
      <c r="D866" s="108">
        <f>SUM(D867:D870)</f>
        <v>62859</v>
      </c>
      <c r="E866" s="108">
        <f>SUM(E867:E870)</f>
        <v>-153</v>
      </c>
      <c r="F866" s="108">
        <f>SUM(F867:F870)</f>
        <v>62706</v>
      </c>
      <c r="G866" s="92"/>
    </row>
    <row r="867" spans="1:7" ht="13.15" customHeight="1" x14ac:dyDescent="0.2">
      <c r="A867" s="109" t="s">
        <v>529</v>
      </c>
      <c r="B867" s="87" t="s">
        <v>148</v>
      </c>
      <c r="C867" s="87" t="s">
        <v>149</v>
      </c>
      <c r="D867" s="110">
        <v>0</v>
      </c>
      <c r="E867" s="110"/>
      <c r="F867" s="110">
        <f>SUM(D867:E867)</f>
        <v>0</v>
      </c>
      <c r="G867" s="92"/>
    </row>
    <row r="868" spans="1:7" ht="13.15" customHeight="1" x14ac:dyDescent="0.2">
      <c r="A868" s="109" t="s">
        <v>529</v>
      </c>
      <c r="B868" s="161">
        <v>5504</v>
      </c>
      <c r="C868" s="87" t="s">
        <v>151</v>
      </c>
      <c r="D868" s="150"/>
      <c r="E868" s="150">
        <f>10932+18</f>
        <v>10950</v>
      </c>
      <c r="F868" s="110">
        <f>SUM(D868:E868)</f>
        <v>10950</v>
      </c>
      <c r="G868" s="162" t="s">
        <v>531</v>
      </c>
    </row>
    <row r="869" spans="1:7" ht="13.15" customHeight="1" x14ac:dyDescent="0.2">
      <c r="A869" s="109" t="s">
        <v>529</v>
      </c>
      <c r="B869" s="87" t="s">
        <v>437</v>
      </c>
      <c r="C869" s="87" t="s">
        <v>438</v>
      </c>
      <c r="D869" s="110">
        <v>10932</v>
      </c>
      <c r="E869" s="110">
        <v>-10932</v>
      </c>
      <c r="F869" s="110">
        <f>SUM(D869:E869)</f>
        <v>0</v>
      </c>
      <c r="G869" s="92"/>
    </row>
    <row r="870" spans="1:7" ht="13.15" customHeight="1" x14ac:dyDescent="0.2">
      <c r="A870" s="109" t="s">
        <v>529</v>
      </c>
      <c r="B870" s="87" t="s">
        <v>381</v>
      </c>
      <c r="C870" s="87" t="s">
        <v>382</v>
      </c>
      <c r="D870" s="110">
        <v>51927</v>
      </c>
      <c r="E870" s="110">
        <v>-171</v>
      </c>
      <c r="F870" s="110">
        <f>SUM(D870:E870)</f>
        <v>51756</v>
      </c>
      <c r="G870" s="92" t="s">
        <v>483</v>
      </c>
    </row>
    <row r="871" spans="1:7" ht="13.15" customHeight="1" x14ac:dyDescent="0.2">
      <c r="A871" s="100" t="s">
        <v>532</v>
      </c>
      <c r="B871" s="101"/>
      <c r="C871" s="101" t="s">
        <v>533</v>
      </c>
      <c r="D871" s="102">
        <f t="shared" ref="D871:F872" si="93">+D872</f>
        <v>83812</v>
      </c>
      <c r="E871" s="102">
        <f t="shared" si="93"/>
        <v>11423</v>
      </c>
      <c r="F871" s="102">
        <f t="shared" si="93"/>
        <v>95235</v>
      </c>
      <c r="G871" s="92"/>
    </row>
    <row r="872" spans="1:7" ht="13.15" customHeight="1" x14ac:dyDescent="0.2">
      <c r="A872" s="103" t="s">
        <v>532</v>
      </c>
      <c r="B872" s="104" t="s">
        <v>133</v>
      </c>
      <c r="C872" s="104" t="s">
        <v>134</v>
      </c>
      <c r="D872" s="105">
        <f t="shared" si="93"/>
        <v>83812</v>
      </c>
      <c r="E872" s="105">
        <f t="shared" si="93"/>
        <v>11423</v>
      </c>
      <c r="F872" s="105">
        <f t="shared" si="93"/>
        <v>95235</v>
      </c>
      <c r="G872" s="92"/>
    </row>
    <row r="873" spans="1:7" ht="13.15" customHeight="1" x14ac:dyDescent="0.2">
      <c r="A873" s="106" t="s">
        <v>532</v>
      </c>
      <c r="B873" s="107" t="s">
        <v>135</v>
      </c>
      <c r="C873" s="107" t="s">
        <v>31</v>
      </c>
      <c r="D873" s="108">
        <f>SUM(D874:D875)</f>
        <v>83812</v>
      </c>
      <c r="E873" s="108">
        <f>SUM(E874:E875)</f>
        <v>11423</v>
      </c>
      <c r="F873" s="108">
        <f>SUM(F874:F875)</f>
        <v>95235</v>
      </c>
      <c r="G873" s="92" t="s">
        <v>534</v>
      </c>
    </row>
    <row r="874" spans="1:7" ht="13.15" customHeight="1" x14ac:dyDescent="0.2">
      <c r="A874" s="109" t="s">
        <v>532</v>
      </c>
      <c r="B874" s="87" t="s">
        <v>138</v>
      </c>
      <c r="C874" s="87" t="s">
        <v>139</v>
      </c>
      <c r="D874" s="110">
        <v>62875</v>
      </c>
      <c r="E874" s="110">
        <f>8744-206</f>
        <v>8538</v>
      </c>
      <c r="F874" s="110">
        <f>SUM(D874:E874)</f>
        <v>71413</v>
      </c>
      <c r="G874" s="92"/>
    </row>
    <row r="875" spans="1:7" ht="13.15" customHeight="1" x14ac:dyDescent="0.2">
      <c r="A875" s="109" t="s">
        <v>532</v>
      </c>
      <c r="B875" s="87" t="s">
        <v>142</v>
      </c>
      <c r="C875" s="87" t="s">
        <v>143</v>
      </c>
      <c r="D875" s="110">
        <v>20937</v>
      </c>
      <c r="E875" s="110">
        <f>2955-70</f>
        <v>2885</v>
      </c>
      <c r="F875" s="110">
        <f>SUM(D875:E875)</f>
        <v>23822</v>
      </c>
      <c r="G875" s="92"/>
    </row>
    <row r="876" spans="1:7" ht="13.15" customHeight="1" x14ac:dyDescent="0.2">
      <c r="A876" s="100" t="s">
        <v>535</v>
      </c>
      <c r="B876" s="101"/>
      <c r="C876" s="101" t="s">
        <v>536</v>
      </c>
      <c r="D876" s="102">
        <f>+D877</f>
        <v>890367</v>
      </c>
      <c r="E876" s="102">
        <f>+E877</f>
        <v>20882</v>
      </c>
      <c r="F876" s="102">
        <f>+F877</f>
        <v>911249</v>
      </c>
      <c r="G876" s="92"/>
    </row>
    <row r="877" spans="1:7" ht="13.15" customHeight="1" x14ac:dyDescent="0.2">
      <c r="A877" s="103" t="s">
        <v>535</v>
      </c>
      <c r="B877" s="104" t="s">
        <v>133</v>
      </c>
      <c r="C877" s="104" t="s">
        <v>134</v>
      </c>
      <c r="D877" s="105">
        <f>+D878+D882</f>
        <v>890367</v>
      </c>
      <c r="E877" s="105">
        <f>+E878+E882</f>
        <v>20882</v>
      </c>
      <c r="F877" s="105">
        <f>+F878+F882</f>
        <v>911249</v>
      </c>
      <c r="G877" s="92" t="s">
        <v>483</v>
      </c>
    </row>
    <row r="878" spans="1:7" ht="13.15" customHeight="1" x14ac:dyDescent="0.2">
      <c r="A878" s="106" t="s">
        <v>535</v>
      </c>
      <c r="B878" s="107" t="s">
        <v>135</v>
      </c>
      <c r="C878" s="107" t="s">
        <v>31</v>
      </c>
      <c r="D878" s="108">
        <f>SUM(D879:D881)</f>
        <v>890367</v>
      </c>
      <c r="E878" s="108">
        <f>SUM(E879:E881)</f>
        <v>20882</v>
      </c>
      <c r="F878" s="108">
        <f>SUM(F879:F881)</f>
        <v>911249</v>
      </c>
      <c r="G878" s="92"/>
    </row>
    <row r="879" spans="1:7" ht="13.15" customHeight="1" x14ac:dyDescent="0.2">
      <c r="A879" s="109" t="s">
        <v>535</v>
      </c>
      <c r="B879" s="87" t="s">
        <v>138</v>
      </c>
      <c r="C879" s="87" t="s">
        <v>139</v>
      </c>
      <c r="D879" s="110">
        <v>665446</v>
      </c>
      <c r="E879" s="110">
        <v>15607</v>
      </c>
      <c r="F879" s="110">
        <f>SUM(D879:E879)</f>
        <v>681053</v>
      </c>
      <c r="G879" s="92"/>
    </row>
    <row r="880" spans="1:7" ht="13.15" customHeight="1" x14ac:dyDescent="0.2">
      <c r="A880" s="109" t="s">
        <v>535</v>
      </c>
      <c r="B880" s="87" t="s">
        <v>174</v>
      </c>
      <c r="C880" s="87" t="s">
        <v>175</v>
      </c>
      <c r="D880" s="110">
        <v>0</v>
      </c>
      <c r="E880" s="110"/>
      <c r="F880" s="110">
        <f>SUM(D880:E880)</f>
        <v>0</v>
      </c>
      <c r="G880" s="92"/>
    </row>
    <row r="881" spans="1:7" ht="13.15" customHeight="1" x14ac:dyDescent="0.2">
      <c r="A881" s="109" t="s">
        <v>535</v>
      </c>
      <c r="B881" s="87" t="s">
        <v>142</v>
      </c>
      <c r="C881" s="87" t="s">
        <v>143</v>
      </c>
      <c r="D881" s="110">
        <v>224921</v>
      </c>
      <c r="E881" s="110">
        <v>5275</v>
      </c>
      <c r="F881" s="110">
        <f>SUM(D881:E881)</f>
        <v>230196</v>
      </c>
      <c r="G881" s="92"/>
    </row>
    <row r="882" spans="1:7" ht="13.15" customHeight="1" x14ac:dyDescent="0.2">
      <c r="A882" s="106" t="s">
        <v>535</v>
      </c>
      <c r="B882" s="107" t="s">
        <v>145</v>
      </c>
      <c r="C882" s="107" t="s">
        <v>32</v>
      </c>
      <c r="D882" s="108">
        <v>0</v>
      </c>
      <c r="E882" s="108">
        <v>0</v>
      </c>
      <c r="F882" s="108">
        <v>0</v>
      </c>
      <c r="G882" s="92"/>
    </row>
    <row r="883" spans="1:7" ht="13.15" customHeight="1" x14ac:dyDescent="0.2">
      <c r="A883" s="109" t="s">
        <v>535</v>
      </c>
      <c r="B883" s="87" t="s">
        <v>146</v>
      </c>
      <c r="C883" s="87" t="s">
        <v>147</v>
      </c>
      <c r="D883" s="110">
        <v>0</v>
      </c>
      <c r="E883" s="110"/>
      <c r="F883" s="110">
        <f>SUM(D883:E883)</f>
        <v>0</v>
      </c>
      <c r="G883" s="92"/>
    </row>
    <row r="884" spans="1:7" ht="13.15" customHeight="1" x14ac:dyDescent="0.2">
      <c r="A884" s="109" t="s">
        <v>535</v>
      </c>
      <c r="B884" s="87" t="s">
        <v>437</v>
      </c>
      <c r="C884" s="87" t="s">
        <v>438</v>
      </c>
      <c r="D884" s="110">
        <v>0</v>
      </c>
      <c r="E884" s="110"/>
      <c r="F884" s="110">
        <f>SUM(D884:E884)</f>
        <v>0</v>
      </c>
      <c r="G884" s="92"/>
    </row>
    <row r="885" spans="1:7" ht="13.15" customHeight="1" x14ac:dyDescent="0.2">
      <c r="A885" s="109" t="s">
        <v>535</v>
      </c>
      <c r="B885" s="87" t="s">
        <v>381</v>
      </c>
      <c r="C885" s="87" t="s">
        <v>382</v>
      </c>
      <c r="D885" s="110">
        <v>0</v>
      </c>
      <c r="E885" s="110"/>
      <c r="F885" s="110">
        <f>SUM(D885:E885)</f>
        <v>0</v>
      </c>
      <c r="G885" s="92"/>
    </row>
    <row r="886" spans="1:7" ht="13.15" customHeight="1" x14ac:dyDescent="0.2">
      <c r="A886" s="100" t="s">
        <v>537</v>
      </c>
      <c r="B886" s="101"/>
      <c r="C886" s="101" t="s">
        <v>538</v>
      </c>
      <c r="D886" s="102">
        <f>+D887</f>
        <v>315519</v>
      </c>
      <c r="E886" s="102">
        <f>+E887</f>
        <v>-26788</v>
      </c>
      <c r="F886" s="102">
        <f>+F887</f>
        <v>288731</v>
      </c>
      <c r="G886" s="92" t="s">
        <v>483</v>
      </c>
    </row>
    <row r="887" spans="1:7" ht="13.15" customHeight="1" x14ac:dyDescent="0.2">
      <c r="A887" s="103" t="s">
        <v>537</v>
      </c>
      <c r="B887" s="104" t="s">
        <v>133</v>
      </c>
      <c r="C887" s="104" t="s">
        <v>134</v>
      </c>
      <c r="D887" s="105">
        <f>+D888+D891</f>
        <v>315519</v>
      </c>
      <c r="E887" s="105">
        <f>+E888+E891</f>
        <v>-26788</v>
      </c>
      <c r="F887" s="105">
        <f>+F888+F891</f>
        <v>288731</v>
      </c>
      <c r="G887" s="92"/>
    </row>
    <row r="888" spans="1:7" ht="13.15" customHeight="1" x14ac:dyDescent="0.2">
      <c r="A888" s="106" t="s">
        <v>537</v>
      </c>
      <c r="B888" s="107" t="s">
        <v>135</v>
      </c>
      <c r="C888" s="107" t="s">
        <v>31</v>
      </c>
      <c r="D888" s="108">
        <f>SUM(D889:D890)</f>
        <v>315519</v>
      </c>
      <c r="E888" s="108">
        <f>SUM(E889:E890)</f>
        <v>-26788</v>
      </c>
      <c r="F888" s="108">
        <f>SUM(F889:F890)</f>
        <v>288731</v>
      </c>
      <c r="G888" s="92"/>
    </row>
    <row r="889" spans="1:7" ht="13.15" customHeight="1" x14ac:dyDescent="0.2">
      <c r="A889" s="109" t="s">
        <v>537</v>
      </c>
      <c r="B889" s="87" t="s">
        <v>138</v>
      </c>
      <c r="C889" s="87" t="s">
        <v>139</v>
      </c>
      <c r="D889" s="110">
        <v>235814</v>
      </c>
      <c r="E889" s="110">
        <v>-20021</v>
      </c>
      <c r="F889" s="110">
        <f>SUM(D889:E889)</f>
        <v>215793</v>
      </c>
      <c r="G889" s="92"/>
    </row>
    <row r="890" spans="1:7" ht="13.15" customHeight="1" x14ac:dyDescent="0.2">
      <c r="A890" s="109" t="s">
        <v>537</v>
      </c>
      <c r="B890" s="87" t="s">
        <v>142</v>
      </c>
      <c r="C890" s="87" t="s">
        <v>143</v>
      </c>
      <c r="D890" s="110">
        <v>79705</v>
      </c>
      <c r="E890" s="110">
        <v>-6767</v>
      </c>
      <c r="F890" s="110">
        <f>SUM(D890:E890)</f>
        <v>72938</v>
      </c>
      <c r="G890" s="92"/>
    </row>
    <row r="891" spans="1:7" ht="13.15" customHeight="1" x14ac:dyDescent="0.2">
      <c r="A891" s="106" t="s">
        <v>537</v>
      </c>
      <c r="B891" s="107" t="s">
        <v>145</v>
      </c>
      <c r="C891" s="107" t="s">
        <v>32</v>
      </c>
      <c r="D891" s="108">
        <v>0</v>
      </c>
      <c r="E891" s="108">
        <v>0</v>
      </c>
      <c r="F891" s="108">
        <v>0</v>
      </c>
      <c r="G891" s="92"/>
    </row>
    <row r="892" spans="1:7" ht="13.15" customHeight="1" x14ac:dyDescent="0.2">
      <c r="A892" s="109" t="s">
        <v>537</v>
      </c>
      <c r="B892" s="87" t="s">
        <v>381</v>
      </c>
      <c r="C892" s="87" t="s">
        <v>382</v>
      </c>
      <c r="D892" s="110">
        <v>0</v>
      </c>
      <c r="E892" s="110"/>
      <c r="F892" s="110">
        <f>SUM(D892:E892)</f>
        <v>0</v>
      </c>
      <c r="G892" s="92"/>
    </row>
    <row r="893" spans="1:7" ht="13.15" customHeight="1" x14ac:dyDescent="0.2">
      <c r="A893" s="100" t="s">
        <v>539</v>
      </c>
      <c r="B893" s="101"/>
      <c r="C893" s="101" t="s">
        <v>540</v>
      </c>
      <c r="D893" s="102">
        <f t="shared" ref="D893:F894" si="94">+D894</f>
        <v>124352</v>
      </c>
      <c r="E893" s="102">
        <f t="shared" si="94"/>
        <v>-410</v>
      </c>
      <c r="F893" s="102">
        <f t="shared" si="94"/>
        <v>123942</v>
      </c>
      <c r="G893" s="92"/>
    </row>
    <row r="894" spans="1:7" ht="13.15" customHeight="1" x14ac:dyDescent="0.2">
      <c r="A894" s="103" t="s">
        <v>539</v>
      </c>
      <c r="B894" s="104" t="s">
        <v>133</v>
      </c>
      <c r="C894" s="104" t="s">
        <v>134</v>
      </c>
      <c r="D894" s="105">
        <f t="shared" si="94"/>
        <v>124352</v>
      </c>
      <c r="E894" s="105">
        <f t="shared" si="94"/>
        <v>-410</v>
      </c>
      <c r="F894" s="105">
        <f t="shared" si="94"/>
        <v>123942</v>
      </c>
      <c r="G894" s="92"/>
    </row>
    <row r="895" spans="1:7" ht="13.15" customHeight="1" x14ac:dyDescent="0.2">
      <c r="A895" s="106" t="s">
        <v>539</v>
      </c>
      <c r="B895" s="107" t="s">
        <v>145</v>
      </c>
      <c r="C895" s="107" t="s">
        <v>32</v>
      </c>
      <c r="D895" s="108">
        <f>SUM(D896:D896)</f>
        <v>124352</v>
      </c>
      <c r="E895" s="108">
        <f>SUM(E896:E896)</f>
        <v>-410</v>
      </c>
      <c r="F895" s="108">
        <f>SUM(F896:F896)</f>
        <v>123942</v>
      </c>
      <c r="G895" s="92"/>
    </row>
    <row r="896" spans="1:7" ht="13.15" customHeight="1" x14ac:dyDescent="0.2">
      <c r="A896" s="109" t="s">
        <v>539</v>
      </c>
      <c r="B896" s="87" t="s">
        <v>368</v>
      </c>
      <c r="C896" s="87" t="s">
        <v>369</v>
      </c>
      <c r="D896" s="110">
        <v>124352</v>
      </c>
      <c r="E896" s="110">
        <v>-410</v>
      </c>
      <c r="F896" s="110">
        <f>SUM(D896:E896)</f>
        <v>123942</v>
      </c>
      <c r="G896" s="92"/>
    </row>
    <row r="897" spans="1:7" ht="13.15" customHeight="1" x14ac:dyDescent="0.2">
      <c r="A897" s="100" t="s">
        <v>541</v>
      </c>
      <c r="B897" s="101"/>
      <c r="C897" s="101" t="s">
        <v>542</v>
      </c>
      <c r="D897" s="102">
        <f>D898+D902</f>
        <v>142516</v>
      </c>
      <c r="E897" s="102">
        <f>E898+E902</f>
        <v>-120616</v>
      </c>
      <c r="F897" s="102">
        <f>F898+F902</f>
        <v>21900</v>
      </c>
      <c r="G897" s="92"/>
    </row>
    <row r="898" spans="1:7" ht="13.15" customHeight="1" x14ac:dyDescent="0.2">
      <c r="A898" s="103" t="s">
        <v>459</v>
      </c>
      <c r="B898" s="104" t="s">
        <v>166</v>
      </c>
      <c r="C898" s="104" t="s">
        <v>167</v>
      </c>
      <c r="D898" s="105">
        <f t="shared" ref="D898:F900" si="95">D899</f>
        <v>0</v>
      </c>
      <c r="E898" s="105">
        <f t="shared" si="95"/>
        <v>21900</v>
      </c>
      <c r="F898" s="105">
        <f t="shared" si="95"/>
        <v>21900</v>
      </c>
      <c r="G898" s="92"/>
    </row>
    <row r="899" spans="1:7" ht="13.15" customHeight="1" x14ac:dyDescent="0.2">
      <c r="A899" s="106" t="s">
        <v>459</v>
      </c>
      <c r="B899" s="107" t="s">
        <v>219</v>
      </c>
      <c r="C899" s="107" t="s">
        <v>220</v>
      </c>
      <c r="D899" s="108">
        <f t="shared" si="95"/>
        <v>0</v>
      </c>
      <c r="E899" s="108">
        <f t="shared" si="95"/>
        <v>21900</v>
      </c>
      <c r="F899" s="108">
        <f t="shared" si="95"/>
        <v>21900</v>
      </c>
      <c r="G899" s="92"/>
    </row>
    <row r="900" spans="1:7" ht="13.15" customHeight="1" x14ac:dyDescent="0.2">
      <c r="A900" s="109" t="s">
        <v>459</v>
      </c>
      <c r="B900" s="87" t="s">
        <v>221</v>
      </c>
      <c r="C900" s="87" t="s">
        <v>222</v>
      </c>
      <c r="D900" s="110">
        <f t="shared" si="95"/>
        <v>0</v>
      </c>
      <c r="E900" s="110">
        <f t="shared" si="95"/>
        <v>21900</v>
      </c>
      <c r="F900" s="110">
        <f t="shared" si="95"/>
        <v>21900</v>
      </c>
      <c r="G900" s="92"/>
    </row>
    <row r="901" spans="1:7" ht="13.15" customHeight="1" x14ac:dyDescent="0.2">
      <c r="A901" s="109" t="s">
        <v>459</v>
      </c>
      <c r="B901" s="87" t="s">
        <v>460</v>
      </c>
      <c r="C901" s="87" t="s">
        <v>233</v>
      </c>
      <c r="D901" s="110"/>
      <c r="E901" s="110">
        <v>21900</v>
      </c>
      <c r="F901" s="110">
        <f>SUM(D901:E901)</f>
        <v>21900</v>
      </c>
      <c r="G901" s="92" t="s">
        <v>491</v>
      </c>
    </row>
    <row r="902" spans="1:7" ht="13.15" customHeight="1" x14ac:dyDescent="0.2">
      <c r="A902" s="103" t="s">
        <v>541</v>
      </c>
      <c r="B902" s="104" t="s">
        <v>133</v>
      </c>
      <c r="C902" s="104" t="s">
        <v>134</v>
      </c>
      <c r="D902" s="105">
        <f>+D903</f>
        <v>142516</v>
      </c>
      <c r="E902" s="105">
        <f>+E903</f>
        <v>-142516</v>
      </c>
      <c r="F902" s="105">
        <f>+F903</f>
        <v>0</v>
      </c>
      <c r="G902" s="92"/>
    </row>
    <row r="903" spans="1:7" ht="13.15" customHeight="1" x14ac:dyDescent="0.2">
      <c r="A903" s="106" t="s">
        <v>541</v>
      </c>
      <c r="B903" s="107" t="s">
        <v>145</v>
      </c>
      <c r="C903" s="107" t="s">
        <v>32</v>
      </c>
      <c r="D903" s="108">
        <f>SUM(D904:D904)</f>
        <v>142516</v>
      </c>
      <c r="E903" s="108">
        <f>SUM(E904:E904)</f>
        <v>-142516</v>
      </c>
      <c r="F903" s="108">
        <f>SUM(F904:F904)</f>
        <v>0</v>
      </c>
      <c r="G903" s="92"/>
    </row>
    <row r="904" spans="1:7" ht="13.15" customHeight="1" x14ac:dyDescent="0.2">
      <c r="A904" s="109" t="s">
        <v>541</v>
      </c>
      <c r="B904" s="87" t="s">
        <v>381</v>
      </c>
      <c r="C904" s="87" t="s">
        <v>382</v>
      </c>
      <c r="D904" s="110">
        <v>142516</v>
      </c>
      <c r="E904" s="110">
        <v>-142516</v>
      </c>
      <c r="F904" s="110">
        <f>SUM(D904:E904)</f>
        <v>0</v>
      </c>
      <c r="G904" s="92"/>
    </row>
    <row r="905" spans="1:7" ht="13.15" customHeight="1" x14ac:dyDescent="0.2">
      <c r="A905" s="100" t="s">
        <v>543</v>
      </c>
      <c r="B905" s="101"/>
      <c r="C905" s="101" t="s">
        <v>544</v>
      </c>
      <c r="D905" s="102">
        <f t="shared" ref="D905:F906" si="96">+D906</f>
        <v>54873</v>
      </c>
      <c r="E905" s="102">
        <f t="shared" si="96"/>
        <v>0</v>
      </c>
      <c r="F905" s="102">
        <f t="shared" si="96"/>
        <v>54873</v>
      </c>
      <c r="G905" s="92"/>
    </row>
    <row r="906" spans="1:7" ht="13.15" customHeight="1" x14ac:dyDescent="0.2">
      <c r="A906" s="103" t="s">
        <v>543</v>
      </c>
      <c r="B906" s="104" t="s">
        <v>133</v>
      </c>
      <c r="C906" s="104" t="s">
        <v>134</v>
      </c>
      <c r="D906" s="105">
        <f t="shared" si="96"/>
        <v>54873</v>
      </c>
      <c r="E906" s="105">
        <f t="shared" si="96"/>
        <v>0</v>
      </c>
      <c r="F906" s="105">
        <f t="shared" si="96"/>
        <v>54873</v>
      </c>
      <c r="G906" s="92"/>
    </row>
    <row r="907" spans="1:7" ht="13.15" customHeight="1" x14ac:dyDescent="0.2">
      <c r="A907" s="106" t="s">
        <v>543</v>
      </c>
      <c r="B907" s="107" t="s">
        <v>145</v>
      </c>
      <c r="C907" s="107" t="s">
        <v>32</v>
      </c>
      <c r="D907" s="108">
        <f>SUM(D908:D908)</f>
        <v>54873</v>
      </c>
      <c r="E907" s="108">
        <f>SUM(E908:E908)</f>
        <v>0</v>
      </c>
      <c r="F907" s="108">
        <f>SUM(F908:F908)</f>
        <v>54873</v>
      </c>
      <c r="G907" s="92"/>
    </row>
    <row r="908" spans="1:7" ht="13.15" customHeight="1" x14ac:dyDescent="0.2">
      <c r="A908" s="109" t="s">
        <v>543</v>
      </c>
      <c r="B908" s="87" t="s">
        <v>381</v>
      </c>
      <c r="C908" s="87" t="s">
        <v>382</v>
      </c>
      <c r="D908" s="110">
        <v>54873</v>
      </c>
      <c r="E908" s="110"/>
      <c r="F908" s="110">
        <f>SUM(D908:E908)</f>
        <v>54873</v>
      </c>
      <c r="G908" s="92"/>
    </row>
    <row r="909" spans="1:7" ht="13.15" customHeight="1" x14ac:dyDescent="0.2">
      <c r="A909" s="157" t="s">
        <v>545</v>
      </c>
      <c r="B909" s="158"/>
      <c r="C909" s="158" t="s">
        <v>546</v>
      </c>
      <c r="D909" s="159">
        <f>+D910+D928+D934+D939+D944+D949</f>
        <v>273887.34100000001</v>
      </c>
      <c r="E909" s="159">
        <f t="shared" ref="E909:F909" si="97">+E910+E928+E934+E939+E944+E949</f>
        <v>137860</v>
      </c>
      <c r="F909" s="159">
        <f t="shared" si="97"/>
        <v>411747.34100000001</v>
      </c>
      <c r="G909" s="92"/>
    </row>
    <row r="910" spans="1:7" ht="13.15" customHeight="1" x14ac:dyDescent="0.2">
      <c r="A910" s="100" t="s">
        <v>547</v>
      </c>
      <c r="B910" s="101"/>
      <c r="C910" s="101" t="s">
        <v>548</v>
      </c>
      <c r="D910" s="102">
        <f>D911</f>
        <v>84573.341</v>
      </c>
      <c r="E910" s="102">
        <f>E911</f>
        <v>2826</v>
      </c>
      <c r="F910" s="102">
        <f>F911</f>
        <v>87399.341</v>
      </c>
      <c r="G910" s="156" t="s">
        <v>549</v>
      </c>
    </row>
    <row r="911" spans="1:7" ht="13.15" customHeight="1" x14ac:dyDescent="0.2">
      <c r="A911" s="103" t="s">
        <v>547</v>
      </c>
      <c r="B911" s="104" t="s">
        <v>133</v>
      </c>
      <c r="C911" s="104" t="s">
        <v>134</v>
      </c>
      <c r="D911" s="105">
        <f>D912+D915</f>
        <v>84573.341</v>
      </c>
      <c r="E911" s="105">
        <f>E912+E915</f>
        <v>2826</v>
      </c>
      <c r="F911" s="105">
        <f>F912+F915</f>
        <v>87399.341</v>
      </c>
      <c r="G911" s="92"/>
    </row>
    <row r="912" spans="1:7" ht="13.15" customHeight="1" x14ac:dyDescent="0.2">
      <c r="A912" s="106" t="s">
        <v>547</v>
      </c>
      <c r="B912" s="107" t="s">
        <v>135</v>
      </c>
      <c r="C912" s="107" t="s">
        <v>31</v>
      </c>
      <c r="D912" s="108">
        <f>SUM(D913:D914)</f>
        <v>69285.341</v>
      </c>
      <c r="E912" s="108">
        <f>SUM(E913:E914)</f>
        <v>-474</v>
      </c>
      <c r="F912" s="108">
        <f>SUM(F913:F914)</f>
        <v>68811.341</v>
      </c>
      <c r="G912" s="156" t="s">
        <v>550</v>
      </c>
    </row>
    <row r="913" spans="1:7" ht="13.15" customHeight="1" x14ac:dyDescent="0.2">
      <c r="A913" s="109" t="s">
        <v>547</v>
      </c>
      <c r="B913" s="87" t="s">
        <v>138</v>
      </c>
      <c r="C913" s="87" t="s">
        <v>139</v>
      </c>
      <c r="D913" s="110">
        <v>51977</v>
      </c>
      <c r="E913" s="110">
        <f>-549</f>
        <v>-549</v>
      </c>
      <c r="F913" s="110">
        <f>SUM(D913:E913)</f>
        <v>51428</v>
      </c>
      <c r="G913" s="156" t="s">
        <v>551</v>
      </c>
    </row>
    <row r="914" spans="1:7" ht="13.15" customHeight="1" x14ac:dyDescent="0.2">
      <c r="A914" s="109" t="s">
        <v>547</v>
      </c>
      <c r="B914" s="87" t="s">
        <v>142</v>
      </c>
      <c r="C914" s="87" t="s">
        <v>143</v>
      </c>
      <c r="D914" s="110">
        <f>D913*0.333</f>
        <v>17308.341</v>
      </c>
      <c r="E914" s="110">
        <f>75</f>
        <v>75</v>
      </c>
      <c r="F914" s="110">
        <f>SUM(D914:E914)</f>
        <v>17383.341</v>
      </c>
      <c r="G914" s="163" t="s">
        <v>552</v>
      </c>
    </row>
    <row r="915" spans="1:7" ht="13.15" customHeight="1" x14ac:dyDescent="0.2">
      <c r="A915" s="106" t="s">
        <v>547</v>
      </c>
      <c r="B915" s="107" t="s">
        <v>145</v>
      </c>
      <c r="C915" s="107" t="s">
        <v>32</v>
      </c>
      <c r="D915" s="108">
        <f>SUM(D916:D927)-D919</f>
        <v>15288</v>
      </c>
      <c r="E915" s="108">
        <f>SUM(E916:E927)-E919</f>
        <v>3300</v>
      </c>
      <c r="F915" s="108">
        <f>SUM(F916:F927)-F919</f>
        <v>18588</v>
      </c>
      <c r="G915" s="92"/>
    </row>
    <row r="916" spans="1:7" ht="13.15" customHeight="1" x14ac:dyDescent="0.2">
      <c r="A916" s="109" t="s">
        <v>547</v>
      </c>
      <c r="B916" s="87" t="s">
        <v>146</v>
      </c>
      <c r="C916" s="87" t="s">
        <v>147</v>
      </c>
      <c r="D916" s="110">
        <v>1200</v>
      </c>
      <c r="E916" s="110"/>
      <c r="F916" s="110">
        <f>SUM(D916:E916)</f>
        <v>1200</v>
      </c>
      <c r="G916" s="92"/>
    </row>
    <row r="917" spans="1:7" ht="13.15" customHeight="1" x14ac:dyDescent="0.2">
      <c r="A917" s="109" t="s">
        <v>547</v>
      </c>
      <c r="B917" s="87" t="s">
        <v>148</v>
      </c>
      <c r="C917" s="87" t="s">
        <v>149</v>
      </c>
      <c r="D917" s="110">
        <v>100</v>
      </c>
      <c r="E917" s="110"/>
      <c r="F917" s="110">
        <f>SUM(D917:E917)</f>
        <v>100</v>
      </c>
      <c r="G917" s="92"/>
    </row>
    <row r="918" spans="1:7" ht="13.15" customHeight="1" x14ac:dyDescent="0.2">
      <c r="A918" s="109" t="s">
        <v>547</v>
      </c>
      <c r="B918" s="87" t="s">
        <v>150</v>
      </c>
      <c r="C918" s="87" t="s">
        <v>151</v>
      </c>
      <c r="D918" s="110">
        <v>240</v>
      </c>
      <c r="E918" s="110"/>
      <c r="F918" s="110">
        <f>SUM(D918:E918)</f>
        <v>240</v>
      </c>
      <c r="G918" s="92"/>
    </row>
    <row r="919" spans="1:7" ht="13.15" customHeight="1" x14ac:dyDescent="0.2">
      <c r="A919" s="111" t="s">
        <v>547</v>
      </c>
      <c r="B919" s="112" t="s">
        <v>176</v>
      </c>
      <c r="C919" s="112" t="s">
        <v>177</v>
      </c>
      <c r="D919" s="113">
        <f>SUM(D920:D924)</f>
        <v>10168</v>
      </c>
      <c r="E919" s="113">
        <f>SUM(E920:E924)</f>
        <v>0</v>
      </c>
      <c r="F919" s="113">
        <f>SUM(F920:F924)</f>
        <v>10168</v>
      </c>
      <c r="G919" s="92"/>
    </row>
    <row r="920" spans="1:7" ht="13.15" customHeight="1" x14ac:dyDescent="0.2">
      <c r="A920" s="114" t="s">
        <v>547</v>
      </c>
      <c r="B920" s="115" t="s">
        <v>178</v>
      </c>
      <c r="C920" s="115" t="s">
        <v>179</v>
      </c>
      <c r="D920" s="116">
        <v>4932</v>
      </c>
      <c r="E920" s="116"/>
      <c r="F920" s="116">
        <f t="shared" ref="F920:F927" si="98">SUM(D920:E920)</f>
        <v>4932</v>
      </c>
      <c r="G920" s="92"/>
    </row>
    <row r="921" spans="1:7" ht="13.15" customHeight="1" x14ac:dyDescent="0.2">
      <c r="A921" s="114" t="s">
        <v>547</v>
      </c>
      <c r="B921" s="115" t="s">
        <v>180</v>
      </c>
      <c r="C921" s="115" t="s">
        <v>75</v>
      </c>
      <c r="D921" s="116">
        <v>2990</v>
      </c>
      <c r="E921" s="116"/>
      <c r="F921" s="116">
        <f t="shared" si="98"/>
        <v>2990</v>
      </c>
      <c r="G921" s="92"/>
    </row>
    <row r="922" spans="1:7" ht="13.15" customHeight="1" x14ac:dyDescent="0.2">
      <c r="A922" s="114" t="s">
        <v>547</v>
      </c>
      <c r="B922" s="115" t="s">
        <v>181</v>
      </c>
      <c r="C922" s="115" t="s">
        <v>182</v>
      </c>
      <c r="D922" s="116">
        <v>302</v>
      </c>
      <c r="E922" s="116"/>
      <c r="F922" s="116">
        <f t="shared" si="98"/>
        <v>302</v>
      </c>
      <c r="G922" s="92"/>
    </row>
    <row r="923" spans="1:7" ht="13.15" customHeight="1" x14ac:dyDescent="0.2">
      <c r="A923" s="114" t="s">
        <v>547</v>
      </c>
      <c r="B923" s="115" t="s">
        <v>183</v>
      </c>
      <c r="C923" s="115" t="s">
        <v>184</v>
      </c>
      <c r="D923" s="116">
        <v>650</v>
      </c>
      <c r="E923" s="116"/>
      <c r="F923" s="116">
        <f t="shared" si="98"/>
        <v>650</v>
      </c>
      <c r="G923" s="92"/>
    </row>
    <row r="924" spans="1:7" ht="13.15" customHeight="1" x14ac:dyDescent="0.2">
      <c r="A924" s="114" t="s">
        <v>547</v>
      </c>
      <c r="B924" s="115" t="s">
        <v>185</v>
      </c>
      <c r="C924" s="115" t="s">
        <v>186</v>
      </c>
      <c r="D924" s="116">
        <v>1294</v>
      </c>
      <c r="E924" s="116"/>
      <c r="F924" s="116">
        <f t="shared" si="98"/>
        <v>1294</v>
      </c>
      <c r="G924" s="92"/>
    </row>
    <row r="925" spans="1:7" ht="13.15" customHeight="1" x14ac:dyDescent="0.2">
      <c r="A925" s="109" t="s">
        <v>547</v>
      </c>
      <c r="B925" s="87" t="s">
        <v>154</v>
      </c>
      <c r="C925" s="87" t="s">
        <v>155</v>
      </c>
      <c r="D925" s="110">
        <v>1000</v>
      </c>
      <c r="E925" s="110">
        <v>3300</v>
      </c>
      <c r="F925" s="110">
        <f t="shared" si="98"/>
        <v>4300</v>
      </c>
      <c r="G925" s="92" t="s">
        <v>553</v>
      </c>
    </row>
    <row r="926" spans="1:7" ht="13.15" customHeight="1" x14ac:dyDescent="0.2">
      <c r="A926" s="109" t="s">
        <v>547</v>
      </c>
      <c r="B926" s="87" t="s">
        <v>156</v>
      </c>
      <c r="C926" s="87" t="s">
        <v>157</v>
      </c>
      <c r="D926" s="110">
        <v>2400</v>
      </c>
      <c r="E926" s="110"/>
      <c r="F926" s="110">
        <f t="shared" si="98"/>
        <v>2400</v>
      </c>
      <c r="G926" s="92"/>
    </row>
    <row r="927" spans="1:7" ht="13.15" customHeight="1" x14ac:dyDescent="0.2">
      <c r="A927" s="109" t="s">
        <v>547</v>
      </c>
      <c r="B927" s="87" t="s">
        <v>158</v>
      </c>
      <c r="C927" s="87" t="s">
        <v>159</v>
      </c>
      <c r="D927" s="110">
        <v>180</v>
      </c>
      <c r="E927" s="110"/>
      <c r="F927" s="110">
        <f t="shared" si="98"/>
        <v>180</v>
      </c>
      <c r="G927" s="92"/>
    </row>
    <row r="928" spans="1:7" ht="13.15" customHeight="1" x14ac:dyDescent="0.2">
      <c r="A928" s="100" t="s">
        <v>554</v>
      </c>
      <c r="B928" s="101"/>
      <c r="C928" s="101" t="s">
        <v>555</v>
      </c>
      <c r="D928" s="102">
        <f t="shared" ref="D928:F929" si="99">+D929</f>
        <v>12629</v>
      </c>
      <c r="E928" s="102">
        <f t="shared" si="99"/>
        <v>-1186</v>
      </c>
      <c r="F928" s="102">
        <f t="shared" si="99"/>
        <v>11443</v>
      </c>
      <c r="G928" s="92"/>
    </row>
    <row r="929" spans="1:7" ht="13.15" customHeight="1" x14ac:dyDescent="0.2">
      <c r="A929" s="103" t="s">
        <v>554</v>
      </c>
      <c r="B929" s="104" t="s">
        <v>133</v>
      </c>
      <c r="C929" s="104" t="s">
        <v>134</v>
      </c>
      <c r="D929" s="105">
        <f t="shared" si="99"/>
        <v>12629</v>
      </c>
      <c r="E929" s="105">
        <f t="shared" si="99"/>
        <v>-1186</v>
      </c>
      <c r="F929" s="105">
        <f t="shared" si="99"/>
        <v>11443</v>
      </c>
      <c r="G929" s="92"/>
    </row>
    <row r="930" spans="1:7" ht="13.15" customHeight="1" x14ac:dyDescent="0.2">
      <c r="A930" s="106" t="s">
        <v>554</v>
      </c>
      <c r="B930" s="107" t="s">
        <v>145</v>
      </c>
      <c r="C930" s="107" t="s">
        <v>32</v>
      </c>
      <c r="D930" s="108">
        <f>SUM(D932:D933)</f>
        <v>12629</v>
      </c>
      <c r="E930" s="108">
        <f>SUM(E931:E933)</f>
        <v>-1186</v>
      </c>
      <c r="F930" s="108">
        <f>SUM(F931:F933)</f>
        <v>11443</v>
      </c>
      <c r="G930" s="92"/>
    </row>
    <row r="931" spans="1:7" ht="13.15" customHeight="1" x14ac:dyDescent="0.2">
      <c r="A931" s="109" t="s">
        <v>554</v>
      </c>
      <c r="B931" s="161">
        <v>5504</v>
      </c>
      <c r="C931" s="87" t="s">
        <v>151</v>
      </c>
      <c r="D931" s="150"/>
      <c r="E931" s="150">
        <f>2492-454</f>
        <v>2038</v>
      </c>
      <c r="F931" s="110">
        <f>SUM(D931:E931)</f>
        <v>2038</v>
      </c>
      <c r="G931" s="162" t="s">
        <v>556</v>
      </c>
    </row>
    <row r="932" spans="1:7" ht="13.15" customHeight="1" x14ac:dyDescent="0.2">
      <c r="A932" s="109" t="s">
        <v>554</v>
      </c>
      <c r="B932" s="87" t="s">
        <v>437</v>
      </c>
      <c r="C932" s="87" t="s">
        <v>438</v>
      </c>
      <c r="D932" s="110">
        <v>2492</v>
      </c>
      <c r="E932" s="110">
        <v>-2492</v>
      </c>
      <c r="F932" s="110">
        <f>SUM(D932:E932)</f>
        <v>0</v>
      </c>
      <c r="G932" s="92"/>
    </row>
    <row r="933" spans="1:7" ht="13.15" customHeight="1" x14ac:dyDescent="0.2">
      <c r="A933" s="109" t="s">
        <v>554</v>
      </c>
      <c r="B933" s="87" t="s">
        <v>381</v>
      </c>
      <c r="C933" s="87" t="s">
        <v>382</v>
      </c>
      <c r="D933" s="110">
        <v>10137</v>
      </c>
      <c r="E933" s="110">
        <v>-732</v>
      </c>
      <c r="F933" s="110">
        <f>SUM(D933:E933)</f>
        <v>9405</v>
      </c>
      <c r="G933" s="92" t="s">
        <v>483</v>
      </c>
    </row>
    <row r="934" spans="1:7" ht="13.15" customHeight="1" x14ac:dyDescent="0.2">
      <c r="A934" s="100" t="s">
        <v>557</v>
      </c>
      <c r="B934" s="101"/>
      <c r="C934" s="101" t="s">
        <v>558</v>
      </c>
      <c r="D934" s="102">
        <f t="shared" ref="D934:F935" si="100">+D935</f>
        <v>17204</v>
      </c>
      <c r="E934" s="102">
        <f t="shared" si="100"/>
        <v>6114</v>
      </c>
      <c r="F934" s="102">
        <f t="shared" si="100"/>
        <v>23318</v>
      </c>
      <c r="G934" s="92" t="s">
        <v>559</v>
      </c>
    </row>
    <row r="935" spans="1:7" ht="13.15" customHeight="1" x14ac:dyDescent="0.2">
      <c r="A935" s="103" t="s">
        <v>557</v>
      </c>
      <c r="B935" s="104" t="s">
        <v>133</v>
      </c>
      <c r="C935" s="104" t="s">
        <v>134</v>
      </c>
      <c r="D935" s="105">
        <f t="shared" si="100"/>
        <v>17204</v>
      </c>
      <c r="E935" s="105">
        <f t="shared" si="100"/>
        <v>6114</v>
      </c>
      <c r="F935" s="105">
        <f t="shared" si="100"/>
        <v>23318</v>
      </c>
      <c r="G935" s="92"/>
    </row>
    <row r="936" spans="1:7" ht="13.15" customHeight="1" x14ac:dyDescent="0.2">
      <c r="A936" s="106" t="s">
        <v>557</v>
      </c>
      <c r="B936" s="107" t="s">
        <v>135</v>
      </c>
      <c r="C936" s="107" t="s">
        <v>31</v>
      </c>
      <c r="D936" s="108">
        <f>SUM(D937:D938)</f>
        <v>17204</v>
      </c>
      <c r="E936" s="108">
        <f>SUM(E937:E938)</f>
        <v>6114</v>
      </c>
      <c r="F936" s="108">
        <f>SUM(F937:F938)</f>
        <v>23318</v>
      </c>
      <c r="G936" s="92"/>
    </row>
    <row r="937" spans="1:7" ht="13.15" customHeight="1" x14ac:dyDescent="0.2">
      <c r="A937" s="109" t="s">
        <v>557</v>
      </c>
      <c r="B937" s="87" t="s">
        <v>138</v>
      </c>
      <c r="C937" s="87" t="s">
        <v>139</v>
      </c>
      <c r="D937" s="110">
        <v>12906</v>
      </c>
      <c r="E937" s="110">
        <f>5807-1238</f>
        <v>4569</v>
      </c>
      <c r="F937" s="110">
        <f>SUM(D937:E937)</f>
        <v>17475</v>
      </c>
      <c r="G937" s="92"/>
    </row>
    <row r="938" spans="1:7" ht="13.15" customHeight="1" x14ac:dyDescent="0.2">
      <c r="A938" s="109" t="s">
        <v>557</v>
      </c>
      <c r="B938" s="87" t="s">
        <v>142</v>
      </c>
      <c r="C938" s="87" t="s">
        <v>143</v>
      </c>
      <c r="D938" s="110">
        <v>4298</v>
      </c>
      <c r="E938" s="110">
        <f>1963-418</f>
        <v>1545</v>
      </c>
      <c r="F938" s="110">
        <f>SUM(D938:E938)</f>
        <v>5843</v>
      </c>
      <c r="G938" s="92"/>
    </row>
    <row r="939" spans="1:7" ht="13.15" customHeight="1" x14ac:dyDescent="0.2">
      <c r="A939" s="100" t="s">
        <v>560</v>
      </c>
      <c r="B939" s="101"/>
      <c r="C939" s="101" t="s">
        <v>561</v>
      </c>
      <c r="D939" s="102">
        <f t="shared" ref="D939:F940" si="101">+D940</f>
        <v>88097</v>
      </c>
      <c r="E939" s="102">
        <f t="shared" si="101"/>
        <v>-35797</v>
      </c>
      <c r="F939" s="102">
        <f t="shared" si="101"/>
        <v>52300</v>
      </c>
      <c r="G939" s="92" t="s">
        <v>483</v>
      </c>
    </row>
    <row r="940" spans="1:7" ht="13.15" customHeight="1" x14ac:dyDescent="0.2">
      <c r="A940" s="103" t="s">
        <v>560</v>
      </c>
      <c r="B940" s="104" t="s">
        <v>133</v>
      </c>
      <c r="C940" s="104" t="s">
        <v>134</v>
      </c>
      <c r="D940" s="105">
        <f t="shared" si="101"/>
        <v>88097</v>
      </c>
      <c r="E940" s="105">
        <f t="shared" si="101"/>
        <v>-35797</v>
      </c>
      <c r="F940" s="105">
        <f t="shared" si="101"/>
        <v>52300</v>
      </c>
      <c r="G940" s="92"/>
    </row>
    <row r="941" spans="1:7" ht="13.15" customHeight="1" x14ac:dyDescent="0.2">
      <c r="A941" s="106" t="s">
        <v>560</v>
      </c>
      <c r="B941" s="107" t="s">
        <v>135</v>
      </c>
      <c r="C941" s="107" t="s">
        <v>31</v>
      </c>
      <c r="D941" s="108">
        <f>SUM(D942:D943)</f>
        <v>88097</v>
      </c>
      <c r="E941" s="108">
        <f>SUM(E942:E943)</f>
        <v>-35797</v>
      </c>
      <c r="F941" s="108">
        <f>SUM(F942:F943)</f>
        <v>52300</v>
      </c>
      <c r="G941" s="92"/>
    </row>
    <row r="942" spans="1:7" ht="13.15" customHeight="1" x14ac:dyDescent="0.2">
      <c r="A942" s="109" t="s">
        <v>560</v>
      </c>
      <c r="B942" s="87" t="s">
        <v>138</v>
      </c>
      <c r="C942" s="87" t="s">
        <v>139</v>
      </c>
      <c r="D942" s="110">
        <v>65842</v>
      </c>
      <c r="E942" s="110">
        <v>-26754</v>
      </c>
      <c r="F942" s="110">
        <f>SUM(D942:E942)</f>
        <v>39088</v>
      </c>
      <c r="G942" s="92"/>
    </row>
    <row r="943" spans="1:7" ht="13.15" customHeight="1" x14ac:dyDescent="0.2">
      <c r="A943" s="109" t="s">
        <v>560</v>
      </c>
      <c r="B943" s="87" t="s">
        <v>142</v>
      </c>
      <c r="C943" s="87" t="s">
        <v>143</v>
      </c>
      <c r="D943" s="110">
        <v>22255</v>
      </c>
      <c r="E943" s="110">
        <v>-9043</v>
      </c>
      <c r="F943" s="110">
        <f>SUM(D943:E943)</f>
        <v>13212</v>
      </c>
      <c r="G943" s="92"/>
    </row>
    <row r="944" spans="1:7" ht="13.15" customHeight="1" x14ac:dyDescent="0.2">
      <c r="A944" s="100" t="s">
        <v>562</v>
      </c>
      <c r="B944" s="101"/>
      <c r="C944" s="101" t="s">
        <v>563</v>
      </c>
      <c r="D944" s="102">
        <f t="shared" ref="D944:F945" si="102">+D945</f>
        <v>71384</v>
      </c>
      <c r="E944" s="102">
        <f t="shared" si="102"/>
        <v>86552</v>
      </c>
      <c r="F944" s="102">
        <f t="shared" si="102"/>
        <v>157936</v>
      </c>
      <c r="G944" s="92" t="s">
        <v>483</v>
      </c>
    </row>
    <row r="945" spans="1:7" ht="13.15" customHeight="1" x14ac:dyDescent="0.2">
      <c r="A945" s="103" t="s">
        <v>562</v>
      </c>
      <c r="B945" s="104" t="s">
        <v>133</v>
      </c>
      <c r="C945" s="104" t="s">
        <v>134</v>
      </c>
      <c r="D945" s="105">
        <f t="shared" si="102"/>
        <v>71384</v>
      </c>
      <c r="E945" s="105">
        <f t="shared" si="102"/>
        <v>86552</v>
      </c>
      <c r="F945" s="105">
        <f t="shared" si="102"/>
        <v>157936</v>
      </c>
      <c r="G945" s="92"/>
    </row>
    <row r="946" spans="1:7" ht="13.15" customHeight="1" x14ac:dyDescent="0.2">
      <c r="A946" s="106" t="s">
        <v>562</v>
      </c>
      <c r="B946" s="107" t="s">
        <v>135</v>
      </c>
      <c r="C946" s="107" t="s">
        <v>31</v>
      </c>
      <c r="D946" s="108">
        <f>SUM(D947:D948)</f>
        <v>71384</v>
      </c>
      <c r="E946" s="108">
        <f>SUM(E947:E948)</f>
        <v>86552</v>
      </c>
      <c r="F946" s="108">
        <f>SUM(F947:F948)</f>
        <v>157936</v>
      </c>
      <c r="G946" s="92"/>
    </row>
    <row r="947" spans="1:7" ht="13.15" customHeight="1" x14ac:dyDescent="0.2">
      <c r="A947" s="109" t="s">
        <v>562</v>
      </c>
      <c r="B947" s="87" t="s">
        <v>138</v>
      </c>
      <c r="C947" s="87" t="s">
        <v>139</v>
      </c>
      <c r="D947" s="110">
        <v>53351</v>
      </c>
      <c r="E947" s="110">
        <v>64688</v>
      </c>
      <c r="F947" s="110">
        <f>SUM(D947:E947)</f>
        <v>118039</v>
      </c>
      <c r="G947" s="92"/>
    </row>
    <row r="948" spans="1:7" ht="13.15" customHeight="1" x14ac:dyDescent="0.2">
      <c r="A948" s="109" t="s">
        <v>562</v>
      </c>
      <c r="B948" s="87" t="s">
        <v>142</v>
      </c>
      <c r="C948" s="87" t="s">
        <v>143</v>
      </c>
      <c r="D948" s="110">
        <v>18033</v>
      </c>
      <c r="E948" s="110">
        <v>21864</v>
      </c>
      <c r="F948" s="110">
        <f>SUM(D948:E948)</f>
        <v>39897</v>
      </c>
      <c r="G948" s="92"/>
    </row>
    <row r="949" spans="1:7" ht="13.15" customHeight="1" x14ac:dyDescent="0.2">
      <c r="A949" s="100" t="s">
        <v>564</v>
      </c>
      <c r="B949" s="101"/>
      <c r="C949" s="101" t="s">
        <v>565</v>
      </c>
      <c r="D949" s="164">
        <f>+D950</f>
        <v>0</v>
      </c>
      <c r="E949" s="165">
        <f t="shared" ref="E949:F949" si="103">+E950</f>
        <v>79351</v>
      </c>
      <c r="F949" s="165">
        <f t="shared" si="103"/>
        <v>79351</v>
      </c>
      <c r="G949" s="156"/>
    </row>
    <row r="950" spans="1:7" ht="13.15" customHeight="1" x14ac:dyDescent="0.2">
      <c r="A950" s="104" t="s">
        <v>564</v>
      </c>
      <c r="B950" s="104" t="s">
        <v>133</v>
      </c>
      <c r="C950" s="104" t="s">
        <v>134</v>
      </c>
      <c r="D950" s="105">
        <f>+D951+D955</f>
        <v>0</v>
      </c>
      <c r="E950" s="105">
        <f t="shared" ref="E950:F950" si="104">+E951+E955</f>
        <v>79351</v>
      </c>
      <c r="F950" s="105">
        <f t="shared" si="104"/>
        <v>79351</v>
      </c>
      <c r="G950" s="156" t="s">
        <v>549</v>
      </c>
    </row>
    <row r="951" spans="1:7" ht="13.15" customHeight="1" x14ac:dyDescent="0.2">
      <c r="A951" s="107" t="s">
        <v>564</v>
      </c>
      <c r="B951" s="107" t="s">
        <v>135</v>
      </c>
      <c r="C951" s="107" t="s">
        <v>31</v>
      </c>
      <c r="D951" s="108">
        <f>SUM(D952:D954)</f>
        <v>0</v>
      </c>
      <c r="E951" s="108">
        <f>SUM(E952:E954)</f>
        <v>54689</v>
      </c>
      <c r="F951" s="108">
        <f>SUM(F952:F954)</f>
        <v>54689</v>
      </c>
      <c r="G951" s="92"/>
    </row>
    <row r="952" spans="1:7" ht="13.15" customHeight="1" x14ac:dyDescent="0.2">
      <c r="A952" s="87" t="s">
        <v>564</v>
      </c>
      <c r="B952" s="87" t="s">
        <v>138</v>
      </c>
      <c r="C952" s="87" t="s">
        <v>139</v>
      </c>
      <c r="D952" s="110">
        <f>+D954</f>
        <v>0</v>
      </c>
      <c r="E952" s="110">
        <v>11580</v>
      </c>
      <c r="F952" s="110">
        <f>SUM(D952:E952)</f>
        <v>11580</v>
      </c>
      <c r="G952" s="92"/>
    </row>
    <row r="953" spans="1:7" ht="13.15" customHeight="1" x14ac:dyDescent="0.2">
      <c r="A953" s="87" t="s">
        <v>564</v>
      </c>
      <c r="B953" s="87" t="s">
        <v>174</v>
      </c>
      <c r="C953" s="87" t="s">
        <v>175</v>
      </c>
      <c r="D953" s="110"/>
      <c r="E953" s="110">
        <f>40874-11580</f>
        <v>29294</v>
      </c>
      <c r="F953" s="110">
        <f t="shared" ref="F953:F954" si="105">SUM(D953:E953)</f>
        <v>29294</v>
      </c>
      <c r="G953" s="92"/>
    </row>
    <row r="954" spans="1:7" ht="13.15" customHeight="1" x14ac:dyDescent="0.2">
      <c r="A954" s="87" t="s">
        <v>564</v>
      </c>
      <c r="B954" s="87" t="s">
        <v>142</v>
      </c>
      <c r="C954" s="87" t="s">
        <v>143</v>
      </c>
      <c r="D954" s="110">
        <v>0</v>
      </c>
      <c r="E954" s="110">
        <v>13815</v>
      </c>
      <c r="F954" s="110">
        <f t="shared" si="105"/>
        <v>13815</v>
      </c>
      <c r="G954" s="92"/>
    </row>
    <row r="955" spans="1:7" ht="13.15" customHeight="1" x14ac:dyDescent="0.2">
      <c r="A955" s="107" t="s">
        <v>564</v>
      </c>
      <c r="B955" s="107" t="s">
        <v>145</v>
      </c>
      <c r="C955" s="107" t="s">
        <v>32</v>
      </c>
      <c r="D955" s="108">
        <f>SUM(D956:D962)-D959</f>
        <v>0</v>
      </c>
      <c r="E955" s="108">
        <f t="shared" ref="E955:F955" si="106">SUM(E956:E962)-E959</f>
        <v>24662</v>
      </c>
      <c r="F955" s="108">
        <f t="shared" si="106"/>
        <v>24662</v>
      </c>
      <c r="G955" s="92"/>
    </row>
    <row r="956" spans="1:7" ht="13.15" customHeight="1" x14ac:dyDescent="0.2">
      <c r="A956" s="87" t="s">
        <v>564</v>
      </c>
      <c r="B956" s="87" t="s">
        <v>146</v>
      </c>
      <c r="C956" s="87" t="s">
        <v>147</v>
      </c>
      <c r="D956" s="110"/>
      <c r="E956" s="110">
        <v>9641</v>
      </c>
      <c r="F956" s="110">
        <f t="shared" ref="F956:F957" si="107">SUM(D956:E956)</f>
        <v>9641</v>
      </c>
      <c r="G956" s="92"/>
    </row>
    <row r="957" spans="1:7" ht="13.15" customHeight="1" x14ac:dyDescent="0.2">
      <c r="A957" s="87" t="s">
        <v>564</v>
      </c>
      <c r="B957" s="87" t="s">
        <v>148</v>
      </c>
      <c r="C957" s="87" t="s">
        <v>149</v>
      </c>
      <c r="D957" s="110"/>
      <c r="E957" s="110">
        <v>885</v>
      </c>
      <c r="F957" s="110">
        <f t="shared" si="107"/>
        <v>885</v>
      </c>
      <c r="G957" s="92"/>
    </row>
    <row r="958" spans="1:7" ht="13.15" customHeight="1" x14ac:dyDescent="0.2">
      <c r="A958" s="87" t="s">
        <v>564</v>
      </c>
      <c r="B958" s="87" t="s">
        <v>150</v>
      </c>
      <c r="C958" s="87" t="s">
        <v>151</v>
      </c>
      <c r="D958" s="110"/>
      <c r="E958" s="110">
        <v>9626</v>
      </c>
      <c r="F958" s="110">
        <f>SUM(D958:E958)</f>
        <v>9626</v>
      </c>
      <c r="G958" s="92"/>
    </row>
    <row r="959" spans="1:7" ht="13.15" customHeight="1" x14ac:dyDescent="0.2">
      <c r="A959" s="112" t="s">
        <v>564</v>
      </c>
      <c r="B959" s="112" t="s">
        <v>176</v>
      </c>
      <c r="C959" s="112" t="s">
        <v>177</v>
      </c>
      <c r="D959" s="112">
        <f>SUM(D960)</f>
        <v>0</v>
      </c>
      <c r="E959" s="112">
        <f>SUM(E960)</f>
        <v>4</v>
      </c>
      <c r="F959" s="112">
        <f>SUM(F960)</f>
        <v>4</v>
      </c>
      <c r="G959" s="92"/>
    </row>
    <row r="960" spans="1:7" ht="13.15" customHeight="1" x14ac:dyDescent="0.2">
      <c r="A960" s="115" t="s">
        <v>564</v>
      </c>
      <c r="B960" s="115" t="s">
        <v>189</v>
      </c>
      <c r="C960" s="115" t="s">
        <v>190</v>
      </c>
      <c r="D960" s="115"/>
      <c r="E960" s="115">
        <v>4</v>
      </c>
      <c r="F960" s="115">
        <f>SUM(D960:E960)</f>
        <v>4</v>
      </c>
      <c r="G960" s="92"/>
    </row>
    <row r="961" spans="1:7" ht="13.15" customHeight="1" x14ac:dyDescent="0.2">
      <c r="A961" s="87" t="s">
        <v>564</v>
      </c>
      <c r="B961" s="87" t="s">
        <v>156</v>
      </c>
      <c r="C961" s="87" t="s">
        <v>157</v>
      </c>
      <c r="D961" s="110"/>
      <c r="E961" s="110">
        <v>1034</v>
      </c>
      <c r="F961" s="110">
        <f>SUM(D961:E961)</f>
        <v>1034</v>
      </c>
      <c r="G961" s="92"/>
    </row>
    <row r="962" spans="1:7" ht="13.15" customHeight="1" x14ac:dyDescent="0.2">
      <c r="A962" s="87" t="s">
        <v>564</v>
      </c>
      <c r="B962" s="87" t="s">
        <v>381</v>
      </c>
      <c r="C962" s="87" t="s">
        <v>382</v>
      </c>
      <c r="D962" s="110"/>
      <c r="E962" s="110">
        <v>3472</v>
      </c>
      <c r="F962" s="110">
        <f>SUM(D962:E962)</f>
        <v>3472</v>
      </c>
      <c r="G962" s="92"/>
    </row>
    <row r="963" spans="1:7" ht="13.15" customHeight="1" x14ac:dyDescent="0.2">
      <c r="A963" s="100" t="s">
        <v>566</v>
      </c>
      <c r="B963" s="101"/>
      <c r="C963" s="101" t="s">
        <v>567</v>
      </c>
      <c r="D963" s="102">
        <f t="shared" ref="D963:F964" si="108">+D964</f>
        <v>7392</v>
      </c>
      <c r="E963" s="102">
        <f t="shared" si="108"/>
        <v>-2112</v>
      </c>
      <c r="F963" s="102">
        <f t="shared" si="108"/>
        <v>5280</v>
      </c>
      <c r="G963" s="156" t="s">
        <v>568</v>
      </c>
    </row>
    <row r="964" spans="1:7" ht="13.15" customHeight="1" x14ac:dyDescent="0.2">
      <c r="A964" s="103" t="s">
        <v>566</v>
      </c>
      <c r="B964" s="104" t="s">
        <v>133</v>
      </c>
      <c r="C964" s="104" t="s">
        <v>134</v>
      </c>
      <c r="D964" s="105">
        <f t="shared" si="108"/>
        <v>7392</v>
      </c>
      <c r="E964" s="105">
        <f t="shared" si="108"/>
        <v>-2112</v>
      </c>
      <c r="F964" s="105">
        <f t="shared" si="108"/>
        <v>5280</v>
      </c>
      <c r="G964" s="92"/>
    </row>
    <row r="965" spans="1:7" ht="13.15" customHeight="1" x14ac:dyDescent="0.2">
      <c r="A965" s="106" t="s">
        <v>566</v>
      </c>
      <c r="B965" s="107" t="s">
        <v>145</v>
      </c>
      <c r="C965" s="107" t="s">
        <v>32</v>
      </c>
      <c r="D965" s="108">
        <f>SUM(D966:D966)</f>
        <v>7392</v>
      </c>
      <c r="E965" s="108">
        <f>SUM(E966:E966)</f>
        <v>-2112</v>
      </c>
      <c r="F965" s="108">
        <f>SUM(F966:F966)</f>
        <v>5280</v>
      </c>
      <c r="G965" s="92"/>
    </row>
    <row r="966" spans="1:7" ht="13.15" customHeight="1" x14ac:dyDescent="0.2">
      <c r="A966" s="109" t="s">
        <v>566</v>
      </c>
      <c r="B966" s="87" t="s">
        <v>381</v>
      </c>
      <c r="C966" s="87" t="s">
        <v>382</v>
      </c>
      <c r="D966" s="110">
        <v>7392</v>
      </c>
      <c r="E966" s="110">
        <v>-2112</v>
      </c>
      <c r="F966" s="110">
        <f>SUM(D966:E966)</f>
        <v>5280</v>
      </c>
      <c r="G966" s="92" t="s">
        <v>569</v>
      </c>
    </row>
    <row r="967" spans="1:7" ht="13.15" customHeight="1" x14ac:dyDescent="0.2">
      <c r="A967" s="100" t="s">
        <v>570</v>
      </c>
      <c r="B967" s="101"/>
      <c r="C967" s="101" t="s">
        <v>571</v>
      </c>
      <c r="D967" s="102">
        <f t="shared" ref="D967:F968" si="109">+D968</f>
        <v>4163</v>
      </c>
      <c r="E967" s="102">
        <f t="shared" si="109"/>
        <v>-4163</v>
      </c>
      <c r="F967" s="102">
        <f t="shared" si="109"/>
        <v>0</v>
      </c>
      <c r="G967" s="92"/>
    </row>
    <row r="968" spans="1:7" ht="13.15" customHeight="1" x14ac:dyDescent="0.2">
      <c r="A968" s="103" t="s">
        <v>570</v>
      </c>
      <c r="B968" s="104" t="s">
        <v>133</v>
      </c>
      <c r="C968" s="104" t="s">
        <v>134</v>
      </c>
      <c r="D968" s="105">
        <f t="shared" si="109"/>
        <v>4163</v>
      </c>
      <c r="E968" s="105">
        <f t="shared" si="109"/>
        <v>-4163</v>
      </c>
      <c r="F968" s="105">
        <f t="shared" si="109"/>
        <v>0</v>
      </c>
      <c r="G968" s="92"/>
    </row>
    <row r="969" spans="1:7" ht="13.15" customHeight="1" x14ac:dyDescent="0.2">
      <c r="A969" s="106" t="s">
        <v>570</v>
      </c>
      <c r="B969" s="107" t="s">
        <v>145</v>
      </c>
      <c r="C969" s="107" t="s">
        <v>32</v>
      </c>
      <c r="D969" s="108">
        <f>SUM(D970:D970)</f>
        <v>4163</v>
      </c>
      <c r="E969" s="108">
        <f>SUM(E970:E970)</f>
        <v>-4163</v>
      </c>
      <c r="F969" s="108">
        <f>SUM(F970:F970)</f>
        <v>0</v>
      </c>
      <c r="G969" s="92"/>
    </row>
    <row r="970" spans="1:7" ht="13.15" customHeight="1" x14ac:dyDescent="0.2">
      <c r="A970" s="109" t="s">
        <v>570</v>
      </c>
      <c r="B970" s="87" t="s">
        <v>381</v>
      </c>
      <c r="C970" s="87" t="s">
        <v>382</v>
      </c>
      <c r="D970" s="110">
        <v>4163</v>
      </c>
      <c r="E970" s="110">
        <v>-4163</v>
      </c>
      <c r="F970" s="110">
        <f>SUM(D970:E970)</f>
        <v>0</v>
      </c>
      <c r="G970" s="92" t="s">
        <v>572</v>
      </c>
    </row>
    <row r="971" spans="1:7" ht="13.15" customHeight="1" x14ac:dyDescent="0.2">
      <c r="A971" s="100" t="s">
        <v>573</v>
      </c>
      <c r="B971" s="101"/>
      <c r="C971" s="101" t="s">
        <v>353</v>
      </c>
      <c r="D971" s="125">
        <f>+D972</f>
        <v>265424</v>
      </c>
      <c r="E971" s="102">
        <f>265424+E972</f>
        <v>320352</v>
      </c>
      <c r="F971" s="102">
        <f>+F972</f>
        <v>320352</v>
      </c>
      <c r="G971" s="92"/>
    </row>
    <row r="972" spans="1:7" ht="13.15" customHeight="1" x14ac:dyDescent="0.2">
      <c r="A972" s="103" t="s">
        <v>573</v>
      </c>
      <c r="B972" s="104" t="s">
        <v>133</v>
      </c>
      <c r="C972" s="104" t="s">
        <v>134</v>
      </c>
      <c r="D972" s="105">
        <f>+D973+D977</f>
        <v>265424</v>
      </c>
      <c r="E972" s="105">
        <f>+E973+E977</f>
        <v>54928</v>
      </c>
      <c r="F972" s="105">
        <f>+F973+F977</f>
        <v>320352</v>
      </c>
      <c r="G972" s="92"/>
    </row>
    <row r="973" spans="1:7" ht="13.15" customHeight="1" x14ac:dyDescent="0.2">
      <c r="A973" s="106" t="s">
        <v>573</v>
      </c>
      <c r="B973" s="107" t="s">
        <v>135</v>
      </c>
      <c r="C973" s="107" t="s">
        <v>31</v>
      </c>
      <c r="D973" s="108">
        <f>SUM(D974:D976)</f>
        <v>214124</v>
      </c>
      <c r="E973" s="108">
        <f>SUM(E974:E976)</f>
        <v>24000</v>
      </c>
      <c r="F973" s="108">
        <f>SUM(F974:F976)</f>
        <v>238124</v>
      </c>
      <c r="G973" s="92"/>
    </row>
    <row r="974" spans="1:7" ht="13.15" customHeight="1" x14ac:dyDescent="0.2">
      <c r="A974" s="109" t="s">
        <v>573</v>
      </c>
      <c r="B974" s="87" t="s">
        <v>138</v>
      </c>
      <c r="C974" s="87" t="s">
        <v>139</v>
      </c>
      <c r="D974" s="110">
        <v>160633</v>
      </c>
      <c r="E974" s="110">
        <v>17940</v>
      </c>
      <c r="F974" s="110">
        <f>SUM(D974:E974)</f>
        <v>178573</v>
      </c>
      <c r="G974" s="118" t="s">
        <v>574</v>
      </c>
    </row>
    <row r="975" spans="1:7" ht="13.15" customHeight="1" x14ac:dyDescent="0.2">
      <c r="A975" s="109" t="s">
        <v>573</v>
      </c>
      <c r="B975" s="87" t="s">
        <v>174</v>
      </c>
      <c r="C975" s="87" t="s">
        <v>175</v>
      </c>
      <c r="D975" s="110">
        <v>0</v>
      </c>
      <c r="E975" s="110"/>
      <c r="F975" s="110">
        <f>SUM(D975:E975)</f>
        <v>0</v>
      </c>
      <c r="G975" s="92"/>
    </row>
    <row r="976" spans="1:7" ht="13.15" customHeight="1" x14ac:dyDescent="0.2">
      <c r="A976" s="109" t="s">
        <v>573</v>
      </c>
      <c r="B976" s="87" t="s">
        <v>142</v>
      </c>
      <c r="C976" s="87" t="s">
        <v>143</v>
      </c>
      <c r="D976" s="110">
        <v>53491</v>
      </c>
      <c r="E976" s="110">
        <v>6060</v>
      </c>
      <c r="F976" s="110">
        <f>SUM(D976:E976)</f>
        <v>59551</v>
      </c>
      <c r="G976" s="92"/>
    </row>
    <row r="977" spans="1:7" ht="13.15" customHeight="1" x14ac:dyDescent="0.2">
      <c r="A977" s="106" t="s">
        <v>573</v>
      </c>
      <c r="B977" s="107" t="s">
        <v>145</v>
      </c>
      <c r="C977" s="107" t="s">
        <v>32</v>
      </c>
      <c r="D977" s="108">
        <f>SUM(D978:D991)-D981</f>
        <v>51300</v>
      </c>
      <c r="E977" s="108">
        <f>SUM(E978:E991)-E981</f>
        <v>30928</v>
      </c>
      <c r="F977" s="108">
        <f>SUM(F978:F991)-F981</f>
        <v>82228</v>
      </c>
      <c r="G977" s="92"/>
    </row>
    <row r="978" spans="1:7" ht="13.15" customHeight="1" x14ac:dyDescent="0.2">
      <c r="A978" s="109" t="s">
        <v>573</v>
      </c>
      <c r="B978" s="87" t="s">
        <v>146</v>
      </c>
      <c r="C978" s="87" t="s">
        <v>147</v>
      </c>
      <c r="D978" s="110">
        <v>2300</v>
      </c>
      <c r="E978" s="110"/>
      <c r="F978" s="110">
        <f>SUM(D978:E978)</f>
        <v>2300</v>
      </c>
      <c r="G978" s="92"/>
    </row>
    <row r="979" spans="1:7" ht="13.15" customHeight="1" x14ac:dyDescent="0.2">
      <c r="A979" s="109" t="s">
        <v>573</v>
      </c>
      <c r="B979" s="87" t="s">
        <v>148</v>
      </c>
      <c r="C979" s="87" t="s">
        <v>149</v>
      </c>
      <c r="D979" s="110">
        <v>2500</v>
      </c>
      <c r="E979" s="110"/>
      <c r="F979" s="110">
        <f>SUM(D979:E979)</f>
        <v>2500</v>
      </c>
      <c r="G979" s="92"/>
    </row>
    <row r="980" spans="1:7" ht="13.15" customHeight="1" x14ac:dyDescent="0.2">
      <c r="A980" s="109" t="s">
        <v>573</v>
      </c>
      <c r="B980" s="87" t="s">
        <v>150</v>
      </c>
      <c r="C980" s="87" t="s">
        <v>151</v>
      </c>
      <c r="D980" s="110">
        <v>600</v>
      </c>
      <c r="E980" s="110"/>
      <c r="F980" s="110">
        <f>SUM(D980:E980)</f>
        <v>600</v>
      </c>
      <c r="G980" s="92"/>
    </row>
    <row r="981" spans="1:7" ht="13.15" customHeight="1" x14ac:dyDescent="0.2">
      <c r="A981" s="111" t="s">
        <v>573</v>
      </c>
      <c r="B981" s="112" t="s">
        <v>176</v>
      </c>
      <c r="C981" s="112" t="s">
        <v>177</v>
      </c>
      <c r="D981" s="113">
        <f>SUM(D982:D984)</f>
        <v>300</v>
      </c>
      <c r="E981" s="113">
        <f>SUM(E982:E984)</f>
        <v>0</v>
      </c>
      <c r="F981" s="113">
        <f>SUM(F982:F984)</f>
        <v>300</v>
      </c>
      <c r="G981" s="92"/>
    </row>
    <row r="982" spans="1:7" ht="13.15" customHeight="1" x14ac:dyDescent="0.2">
      <c r="A982" s="114" t="s">
        <v>573</v>
      </c>
      <c r="B982" s="115" t="s">
        <v>183</v>
      </c>
      <c r="C982" s="115" t="s">
        <v>184</v>
      </c>
      <c r="D982" s="116">
        <v>0</v>
      </c>
      <c r="E982" s="116"/>
      <c r="F982" s="116">
        <f t="shared" ref="F982:F991" si="110">SUM(D982:E982)</f>
        <v>0</v>
      </c>
      <c r="G982" s="92"/>
    </row>
    <row r="983" spans="1:7" ht="13.15" customHeight="1" x14ac:dyDescent="0.2">
      <c r="A983" s="114" t="s">
        <v>573</v>
      </c>
      <c r="B983" s="115" t="s">
        <v>185</v>
      </c>
      <c r="C983" s="115" t="s">
        <v>186</v>
      </c>
      <c r="D983" s="116">
        <v>300</v>
      </c>
      <c r="E983" s="116"/>
      <c r="F983" s="116">
        <f t="shared" si="110"/>
        <v>300</v>
      </c>
      <c r="G983" s="92"/>
    </row>
    <row r="984" spans="1:7" ht="13.15" customHeight="1" x14ac:dyDescent="0.2">
      <c r="A984" s="114" t="s">
        <v>573</v>
      </c>
      <c r="B984" s="115" t="s">
        <v>193</v>
      </c>
      <c r="C984" s="115" t="s">
        <v>194</v>
      </c>
      <c r="D984" s="116">
        <v>0</v>
      </c>
      <c r="E984" s="116"/>
      <c r="F984" s="116">
        <f t="shared" si="110"/>
        <v>0</v>
      </c>
      <c r="G984" s="92"/>
    </row>
    <row r="985" spans="1:7" ht="13.15" customHeight="1" x14ac:dyDescent="0.2">
      <c r="A985" s="109" t="s">
        <v>573</v>
      </c>
      <c r="B985" s="87" t="s">
        <v>152</v>
      </c>
      <c r="C985" s="87" t="s">
        <v>153</v>
      </c>
      <c r="D985" s="110">
        <v>700</v>
      </c>
      <c r="E985" s="110"/>
      <c r="F985" s="110">
        <f t="shared" si="110"/>
        <v>700</v>
      </c>
      <c r="G985" s="92"/>
    </row>
    <row r="986" spans="1:7" ht="13.15" customHeight="1" x14ac:dyDescent="0.2">
      <c r="A986" s="109" t="s">
        <v>573</v>
      </c>
      <c r="B986" s="87" t="s">
        <v>154</v>
      </c>
      <c r="C986" s="87" t="s">
        <v>155</v>
      </c>
      <c r="D986" s="110">
        <v>500</v>
      </c>
      <c r="E986" s="110"/>
      <c r="F986" s="110">
        <f t="shared" si="110"/>
        <v>500</v>
      </c>
      <c r="G986" s="92"/>
    </row>
    <row r="987" spans="1:7" ht="13.15" customHeight="1" x14ac:dyDescent="0.2">
      <c r="A987" s="109" t="s">
        <v>573</v>
      </c>
      <c r="B987" s="87" t="s">
        <v>156</v>
      </c>
      <c r="C987" s="87" t="s">
        <v>157</v>
      </c>
      <c r="D987" s="110">
        <v>6400</v>
      </c>
      <c r="E987" s="110"/>
      <c r="F987" s="110">
        <f t="shared" si="110"/>
        <v>6400</v>
      </c>
      <c r="G987" s="92"/>
    </row>
    <row r="988" spans="1:7" ht="13.15" customHeight="1" x14ac:dyDescent="0.2">
      <c r="A988" s="109" t="s">
        <v>573</v>
      </c>
      <c r="B988" s="87" t="s">
        <v>158</v>
      </c>
      <c r="C988" s="87" t="s">
        <v>159</v>
      </c>
      <c r="D988" s="110">
        <v>800</v>
      </c>
      <c r="E988" s="110"/>
      <c r="F988" s="110">
        <f t="shared" si="110"/>
        <v>800</v>
      </c>
      <c r="G988" s="92"/>
    </row>
    <row r="989" spans="1:7" ht="13.15" customHeight="1" x14ac:dyDescent="0.2">
      <c r="A989" s="109" t="s">
        <v>573</v>
      </c>
      <c r="B989" s="87" t="s">
        <v>381</v>
      </c>
      <c r="C989" s="87" t="s">
        <v>382</v>
      </c>
      <c r="D989" s="110">
        <v>0</v>
      </c>
      <c r="E989" s="110"/>
      <c r="F989" s="110">
        <f t="shared" si="110"/>
        <v>0</v>
      </c>
      <c r="G989" s="92"/>
    </row>
    <row r="990" spans="1:7" ht="13.15" customHeight="1" x14ac:dyDescent="0.2">
      <c r="A990" s="109" t="s">
        <v>573</v>
      </c>
      <c r="B990" s="87" t="s">
        <v>195</v>
      </c>
      <c r="C990" s="87" t="s">
        <v>196</v>
      </c>
      <c r="D990" s="110">
        <v>17200</v>
      </c>
      <c r="E990" s="110">
        <f>6928+6440+126+15434+2000</f>
        <v>30928</v>
      </c>
      <c r="F990" s="110">
        <f t="shared" si="110"/>
        <v>48128</v>
      </c>
      <c r="G990" s="92" t="s">
        <v>575</v>
      </c>
    </row>
    <row r="991" spans="1:7" ht="13.15" customHeight="1" x14ac:dyDescent="0.2">
      <c r="A991" s="109" t="s">
        <v>573</v>
      </c>
      <c r="B991" s="87" t="s">
        <v>199</v>
      </c>
      <c r="C991" s="87" t="s">
        <v>200</v>
      </c>
      <c r="D991" s="110">
        <v>20000</v>
      </c>
      <c r="E991" s="110"/>
      <c r="F991" s="110">
        <f t="shared" si="110"/>
        <v>20000</v>
      </c>
      <c r="G991" s="92"/>
    </row>
    <row r="992" spans="1:7" ht="13.15" customHeight="1" x14ac:dyDescent="0.2">
      <c r="A992" s="100" t="s">
        <v>576</v>
      </c>
      <c r="B992" s="101"/>
      <c r="C992" s="101" t="s">
        <v>377</v>
      </c>
      <c r="D992" s="125">
        <f>+D993</f>
        <v>377073</v>
      </c>
      <c r="E992" s="102">
        <f>377073+E993</f>
        <v>400627.08</v>
      </c>
      <c r="F992" s="102">
        <f>+F993</f>
        <v>400627.08</v>
      </c>
      <c r="G992" s="92"/>
    </row>
    <row r="993" spans="1:7" ht="13.15" customHeight="1" x14ac:dyDescent="0.2">
      <c r="A993" s="103" t="s">
        <v>576</v>
      </c>
      <c r="B993" s="104" t="s">
        <v>133</v>
      </c>
      <c r="C993" s="104" t="s">
        <v>134</v>
      </c>
      <c r="D993" s="105">
        <f>+D994+D998</f>
        <v>377073</v>
      </c>
      <c r="E993" s="105">
        <f>+E994+E998</f>
        <v>23554.080000000002</v>
      </c>
      <c r="F993" s="105">
        <f>+F994+F998</f>
        <v>400627.08</v>
      </c>
      <c r="G993" s="92"/>
    </row>
    <row r="994" spans="1:7" ht="13.15" customHeight="1" x14ac:dyDescent="0.2">
      <c r="A994" s="106" t="s">
        <v>576</v>
      </c>
      <c r="B994" s="107" t="s">
        <v>135</v>
      </c>
      <c r="C994" s="107" t="s">
        <v>31</v>
      </c>
      <c r="D994" s="108">
        <f>SUM(D995:D997)</f>
        <v>342973</v>
      </c>
      <c r="E994" s="108">
        <f>SUM(E995:E997)</f>
        <v>5700</v>
      </c>
      <c r="F994" s="108">
        <f>SUM(F995:F997)</f>
        <v>348673</v>
      </c>
      <c r="G994" s="92"/>
    </row>
    <row r="995" spans="1:7" ht="13.15" customHeight="1" x14ac:dyDescent="0.2">
      <c r="A995" s="109" t="s">
        <v>576</v>
      </c>
      <c r="B995" s="87" t="s">
        <v>138</v>
      </c>
      <c r="C995" s="87" t="s">
        <v>139</v>
      </c>
      <c r="D995" s="110">
        <v>257294</v>
      </c>
      <c r="E995" s="110"/>
      <c r="F995" s="110">
        <f>SUM(D995:E995)</f>
        <v>257294</v>
      </c>
      <c r="G995" s="92"/>
    </row>
    <row r="996" spans="1:7" ht="13.15" customHeight="1" x14ac:dyDescent="0.2">
      <c r="A996" s="109" t="s">
        <v>576</v>
      </c>
      <c r="B996" s="161">
        <v>5005</v>
      </c>
      <c r="C996" s="87" t="s">
        <v>175</v>
      </c>
      <c r="D996" s="110">
        <v>0</v>
      </c>
      <c r="E996" s="110">
        <v>4260.09</v>
      </c>
      <c r="F996" s="110">
        <f>SUM(D996:E996)</f>
        <v>4260.09</v>
      </c>
      <c r="G996" s="118" t="s">
        <v>577</v>
      </c>
    </row>
    <row r="997" spans="1:7" ht="13.15" customHeight="1" x14ac:dyDescent="0.2">
      <c r="A997" s="109" t="s">
        <v>576</v>
      </c>
      <c r="B997" s="87" t="s">
        <v>142</v>
      </c>
      <c r="C997" s="87" t="s">
        <v>143</v>
      </c>
      <c r="D997" s="110">
        <v>85679</v>
      </c>
      <c r="E997" s="110">
        <v>1439.91</v>
      </c>
      <c r="F997" s="110">
        <f>SUM(D997:E997)</f>
        <v>87118.91</v>
      </c>
      <c r="G997" s="118" t="s">
        <v>577</v>
      </c>
    </row>
    <row r="998" spans="1:7" ht="13.15" customHeight="1" x14ac:dyDescent="0.2">
      <c r="A998" s="106" t="s">
        <v>576</v>
      </c>
      <c r="B998" s="107" t="s">
        <v>145</v>
      </c>
      <c r="C998" s="107" t="s">
        <v>32</v>
      </c>
      <c r="D998" s="108">
        <f>SUM(D999:D1018)-D1002</f>
        <v>34100</v>
      </c>
      <c r="E998" s="108">
        <f>SUM(E999:E1018)-E1002</f>
        <v>17854.080000000002</v>
      </c>
      <c r="F998" s="108">
        <f>SUM(F999:F1018)-F1002</f>
        <v>51954.080000000002</v>
      </c>
      <c r="G998" s="92"/>
    </row>
    <row r="999" spans="1:7" ht="13.15" customHeight="1" x14ac:dyDescent="0.2">
      <c r="A999" s="109" t="s">
        <v>576</v>
      </c>
      <c r="B999" s="87" t="s">
        <v>146</v>
      </c>
      <c r="C999" s="87" t="s">
        <v>147</v>
      </c>
      <c r="D999" s="110">
        <v>2100</v>
      </c>
      <c r="E999" s="110"/>
      <c r="F999" s="110">
        <f>SUM(D999:E999)</f>
        <v>2100</v>
      </c>
      <c r="G999" s="92"/>
    </row>
    <row r="1000" spans="1:7" ht="13.15" customHeight="1" x14ac:dyDescent="0.2">
      <c r="A1000" s="109" t="s">
        <v>576</v>
      </c>
      <c r="B1000" s="87" t="s">
        <v>148</v>
      </c>
      <c r="C1000" s="87" t="s">
        <v>149</v>
      </c>
      <c r="D1000" s="110">
        <v>200</v>
      </c>
      <c r="E1000" s="110"/>
      <c r="F1000" s="110">
        <f>SUM(D1000:E1000)</f>
        <v>200</v>
      </c>
      <c r="G1000" s="92"/>
    </row>
    <row r="1001" spans="1:7" ht="13.15" customHeight="1" x14ac:dyDescent="0.2">
      <c r="A1001" s="109" t="s">
        <v>576</v>
      </c>
      <c r="B1001" s="87" t="s">
        <v>150</v>
      </c>
      <c r="C1001" s="87" t="s">
        <v>151</v>
      </c>
      <c r="D1001" s="110">
        <v>1100</v>
      </c>
      <c r="E1001" s="110">
        <v>500</v>
      </c>
      <c r="F1001" s="110">
        <f>SUM(D1001:E1001)</f>
        <v>1600</v>
      </c>
      <c r="G1001" s="118" t="s">
        <v>577</v>
      </c>
    </row>
    <row r="1002" spans="1:7" ht="13.15" customHeight="1" x14ac:dyDescent="0.2">
      <c r="A1002" s="111" t="s">
        <v>576</v>
      </c>
      <c r="B1002" s="112" t="s">
        <v>176</v>
      </c>
      <c r="C1002" s="112" t="s">
        <v>177</v>
      </c>
      <c r="D1002" s="113">
        <f>SUM(D1003:D1010)</f>
        <v>21900</v>
      </c>
      <c r="E1002" s="113">
        <f>SUM(E1003:E1010)</f>
        <v>2000</v>
      </c>
      <c r="F1002" s="113">
        <f>SUM(F1003:F1010)</f>
        <v>23900</v>
      </c>
      <c r="G1002" s="92"/>
    </row>
    <row r="1003" spans="1:7" ht="13.15" customHeight="1" x14ac:dyDescent="0.2">
      <c r="A1003" s="114" t="s">
        <v>576</v>
      </c>
      <c r="B1003" s="115" t="s">
        <v>178</v>
      </c>
      <c r="C1003" s="115" t="s">
        <v>179</v>
      </c>
      <c r="D1003" s="116">
        <v>11000</v>
      </c>
      <c r="E1003" s="116"/>
      <c r="F1003" s="116">
        <f t="shared" ref="F1003:F1018" si="111">SUM(D1003:E1003)</f>
        <v>11000</v>
      </c>
      <c r="G1003" s="92"/>
    </row>
    <row r="1004" spans="1:7" ht="13.15" customHeight="1" x14ac:dyDescent="0.2">
      <c r="A1004" s="114" t="s">
        <v>576</v>
      </c>
      <c r="B1004" s="115" t="s">
        <v>180</v>
      </c>
      <c r="C1004" s="115" t="s">
        <v>75</v>
      </c>
      <c r="D1004" s="116">
        <v>2800</v>
      </c>
      <c r="E1004" s="116"/>
      <c r="F1004" s="116">
        <f t="shared" si="111"/>
        <v>2800</v>
      </c>
      <c r="G1004" s="92"/>
    </row>
    <row r="1005" spans="1:7" ht="13.15" customHeight="1" x14ac:dyDescent="0.2">
      <c r="A1005" s="114" t="s">
        <v>576</v>
      </c>
      <c r="B1005" s="115" t="s">
        <v>181</v>
      </c>
      <c r="C1005" s="115" t="s">
        <v>182</v>
      </c>
      <c r="D1005" s="116">
        <v>500</v>
      </c>
      <c r="E1005" s="116"/>
      <c r="F1005" s="116">
        <f t="shared" si="111"/>
        <v>500</v>
      </c>
      <c r="G1005" s="92"/>
    </row>
    <row r="1006" spans="1:7" ht="13.15" customHeight="1" x14ac:dyDescent="0.2">
      <c r="A1006" s="114" t="s">
        <v>576</v>
      </c>
      <c r="B1006" s="115" t="s">
        <v>183</v>
      </c>
      <c r="C1006" s="115" t="s">
        <v>184</v>
      </c>
      <c r="D1006" s="116">
        <v>2500</v>
      </c>
      <c r="E1006" s="116"/>
      <c r="F1006" s="116">
        <f t="shared" si="111"/>
        <v>2500</v>
      </c>
      <c r="G1006" s="92"/>
    </row>
    <row r="1007" spans="1:7" ht="13.15" customHeight="1" x14ac:dyDescent="0.2">
      <c r="A1007" s="114" t="s">
        <v>576</v>
      </c>
      <c r="B1007" s="115" t="s">
        <v>185</v>
      </c>
      <c r="C1007" s="115" t="s">
        <v>186</v>
      </c>
      <c r="D1007" s="116">
        <v>3300</v>
      </c>
      <c r="E1007" s="116"/>
      <c r="F1007" s="116">
        <f t="shared" si="111"/>
        <v>3300</v>
      </c>
      <c r="G1007" s="92"/>
    </row>
    <row r="1008" spans="1:7" ht="13.15" customHeight="1" x14ac:dyDescent="0.2">
      <c r="A1008" s="114" t="s">
        <v>576</v>
      </c>
      <c r="B1008" s="115" t="s">
        <v>187</v>
      </c>
      <c r="C1008" s="115" t="s">
        <v>188</v>
      </c>
      <c r="D1008" s="116">
        <v>900</v>
      </c>
      <c r="E1008" s="116"/>
      <c r="F1008" s="116">
        <f t="shared" si="111"/>
        <v>900</v>
      </c>
      <c r="G1008" s="92"/>
    </row>
    <row r="1009" spans="1:7" ht="13.15" customHeight="1" x14ac:dyDescent="0.2">
      <c r="A1009" s="114" t="s">
        <v>576</v>
      </c>
      <c r="B1009" s="115" t="s">
        <v>189</v>
      </c>
      <c r="C1009" s="115" t="s">
        <v>190</v>
      </c>
      <c r="D1009" s="116">
        <v>600</v>
      </c>
      <c r="E1009" s="116">
        <v>2000</v>
      </c>
      <c r="F1009" s="116">
        <f t="shared" si="111"/>
        <v>2600</v>
      </c>
      <c r="G1009" s="92" t="s">
        <v>578</v>
      </c>
    </row>
    <row r="1010" spans="1:7" ht="13.15" customHeight="1" x14ac:dyDescent="0.2">
      <c r="A1010" s="114" t="s">
        <v>576</v>
      </c>
      <c r="B1010" s="115" t="s">
        <v>191</v>
      </c>
      <c r="C1010" s="115" t="s">
        <v>192</v>
      </c>
      <c r="D1010" s="116">
        <v>300</v>
      </c>
      <c r="E1010" s="116"/>
      <c r="F1010" s="116">
        <f t="shared" si="111"/>
        <v>300</v>
      </c>
      <c r="G1010" s="92"/>
    </row>
    <row r="1011" spans="1:7" ht="13.15" customHeight="1" x14ac:dyDescent="0.2">
      <c r="A1011" s="109" t="s">
        <v>576</v>
      </c>
      <c r="B1011" s="87" t="s">
        <v>152</v>
      </c>
      <c r="C1011" s="87" t="s">
        <v>153</v>
      </c>
      <c r="D1011" s="110">
        <v>1600</v>
      </c>
      <c r="E1011" s="110"/>
      <c r="F1011" s="110">
        <f t="shared" si="111"/>
        <v>1600</v>
      </c>
      <c r="G1011" s="92"/>
    </row>
    <row r="1012" spans="1:7" ht="13.15" customHeight="1" x14ac:dyDescent="0.2">
      <c r="A1012" s="109" t="s">
        <v>576</v>
      </c>
      <c r="B1012" s="87" t="s">
        <v>154</v>
      </c>
      <c r="C1012" s="87" t="s">
        <v>155</v>
      </c>
      <c r="D1012" s="110">
        <v>1250</v>
      </c>
      <c r="E1012" s="110"/>
      <c r="F1012" s="110">
        <f t="shared" si="111"/>
        <v>1250</v>
      </c>
      <c r="G1012" s="92"/>
    </row>
    <row r="1013" spans="1:7" ht="13.15" customHeight="1" x14ac:dyDescent="0.2">
      <c r="A1013" s="109" t="s">
        <v>576</v>
      </c>
      <c r="B1013" s="87" t="s">
        <v>156</v>
      </c>
      <c r="C1013" s="87" t="s">
        <v>157</v>
      </c>
      <c r="D1013" s="110">
        <v>2600</v>
      </c>
      <c r="E1013" s="110"/>
      <c r="F1013" s="110">
        <f t="shared" si="111"/>
        <v>2600</v>
      </c>
      <c r="G1013" s="92"/>
    </row>
    <row r="1014" spans="1:7" ht="13.15" customHeight="1" x14ac:dyDescent="0.2">
      <c r="A1014" s="166" t="s">
        <v>576</v>
      </c>
      <c r="B1014" s="142">
        <v>5515001</v>
      </c>
      <c r="C1014" s="143" t="s">
        <v>579</v>
      </c>
      <c r="D1014" s="144">
        <v>0</v>
      </c>
      <c r="E1014" s="144">
        <v>649.08000000000004</v>
      </c>
      <c r="F1014" s="144">
        <f t="shared" si="111"/>
        <v>649.08000000000004</v>
      </c>
      <c r="G1014" s="118" t="s">
        <v>580</v>
      </c>
    </row>
    <row r="1015" spans="1:7" ht="13.15" customHeight="1" x14ac:dyDescent="0.2">
      <c r="A1015" s="109" t="s">
        <v>576</v>
      </c>
      <c r="B1015" s="87" t="s">
        <v>158</v>
      </c>
      <c r="C1015" s="87" t="s">
        <v>159</v>
      </c>
      <c r="D1015" s="110">
        <v>150</v>
      </c>
      <c r="E1015" s="110"/>
      <c r="F1015" s="110">
        <f t="shared" si="111"/>
        <v>150</v>
      </c>
      <c r="G1015" s="92"/>
    </row>
    <row r="1016" spans="1:7" ht="13.15" customHeight="1" x14ac:dyDescent="0.2">
      <c r="A1016" s="109" t="s">
        <v>576</v>
      </c>
      <c r="B1016" s="87" t="s">
        <v>381</v>
      </c>
      <c r="C1016" s="87" t="s">
        <v>382</v>
      </c>
      <c r="D1016" s="110">
        <v>600</v>
      </c>
      <c r="E1016" s="110"/>
      <c r="F1016" s="110">
        <f t="shared" si="111"/>
        <v>600</v>
      </c>
      <c r="G1016" s="92"/>
    </row>
    <row r="1017" spans="1:7" ht="13.15" customHeight="1" x14ac:dyDescent="0.2">
      <c r="A1017" s="109" t="s">
        <v>576</v>
      </c>
      <c r="B1017" s="87" t="s">
        <v>195</v>
      </c>
      <c r="C1017" s="87" t="s">
        <v>196</v>
      </c>
      <c r="D1017" s="110">
        <v>2600</v>
      </c>
      <c r="E1017" s="110"/>
      <c r="F1017" s="110">
        <f t="shared" si="111"/>
        <v>2600</v>
      </c>
      <c r="G1017" s="92"/>
    </row>
    <row r="1018" spans="1:7" ht="13.15" customHeight="1" x14ac:dyDescent="0.2">
      <c r="A1018" s="166" t="s">
        <v>576</v>
      </c>
      <c r="B1018" s="142">
        <v>5525201</v>
      </c>
      <c r="C1018" s="143" t="s">
        <v>395</v>
      </c>
      <c r="D1018" s="144">
        <v>0</v>
      </c>
      <c r="E1018" s="144">
        <v>14705</v>
      </c>
      <c r="F1018" s="144">
        <f t="shared" si="111"/>
        <v>14705</v>
      </c>
      <c r="G1018" s="118" t="s">
        <v>577</v>
      </c>
    </row>
    <row r="1019" spans="1:7" ht="13.15" customHeight="1" x14ac:dyDescent="0.2">
      <c r="A1019" s="100" t="s">
        <v>100</v>
      </c>
      <c r="B1019" s="101"/>
      <c r="C1019" s="101" t="s">
        <v>581</v>
      </c>
      <c r="D1019" s="102">
        <f t="shared" ref="D1019:F1021" si="112">D1020</f>
        <v>4800</v>
      </c>
      <c r="E1019" s="102">
        <f t="shared" si="112"/>
        <v>0</v>
      </c>
      <c r="F1019" s="102">
        <f t="shared" si="112"/>
        <v>4800</v>
      </c>
      <c r="G1019" s="92"/>
    </row>
    <row r="1020" spans="1:7" ht="13.15" customHeight="1" x14ac:dyDescent="0.2">
      <c r="A1020" s="103" t="s">
        <v>100</v>
      </c>
      <c r="B1020" s="104" t="s">
        <v>133</v>
      </c>
      <c r="C1020" s="104" t="s">
        <v>134</v>
      </c>
      <c r="D1020" s="105">
        <f t="shared" si="112"/>
        <v>4800</v>
      </c>
      <c r="E1020" s="105">
        <f t="shared" si="112"/>
        <v>0</v>
      </c>
      <c r="F1020" s="105">
        <f t="shared" si="112"/>
        <v>4800</v>
      </c>
      <c r="G1020" s="92"/>
    </row>
    <row r="1021" spans="1:7" ht="13.15" customHeight="1" x14ac:dyDescent="0.2">
      <c r="A1021" s="106" t="s">
        <v>100</v>
      </c>
      <c r="B1021" s="107" t="s">
        <v>145</v>
      </c>
      <c r="C1021" s="107" t="s">
        <v>32</v>
      </c>
      <c r="D1021" s="108">
        <f t="shared" si="112"/>
        <v>4800</v>
      </c>
      <c r="E1021" s="108">
        <f t="shared" si="112"/>
        <v>0</v>
      </c>
      <c r="F1021" s="108">
        <f t="shared" si="112"/>
        <v>4800</v>
      </c>
      <c r="G1021" s="92"/>
    </row>
    <row r="1022" spans="1:7" ht="13.15" customHeight="1" x14ac:dyDescent="0.2">
      <c r="A1022" s="109" t="s">
        <v>100</v>
      </c>
      <c r="B1022" s="87" t="s">
        <v>199</v>
      </c>
      <c r="C1022" s="87" t="s">
        <v>200</v>
      </c>
      <c r="D1022" s="110">
        <v>4800</v>
      </c>
      <c r="E1022" s="110"/>
      <c r="F1022" s="110">
        <f>SUM(D1022:E1022)</f>
        <v>4800</v>
      </c>
      <c r="G1022" s="92"/>
    </row>
    <row r="1023" spans="1:7" ht="13.15" customHeight="1" x14ac:dyDescent="0.2">
      <c r="A1023" s="100" t="s">
        <v>582</v>
      </c>
      <c r="B1023" s="101"/>
      <c r="C1023" s="101" t="s">
        <v>583</v>
      </c>
      <c r="D1023" s="102">
        <f t="shared" ref="D1023:F1025" si="113">D1024</f>
        <v>206116</v>
      </c>
      <c r="E1023" s="102">
        <f t="shared" si="113"/>
        <v>3172</v>
      </c>
      <c r="F1023" s="102">
        <f t="shared" si="113"/>
        <v>209288</v>
      </c>
      <c r="G1023" s="92"/>
    </row>
    <row r="1024" spans="1:7" ht="13.15" customHeight="1" x14ac:dyDescent="0.2">
      <c r="A1024" s="103" t="s">
        <v>582</v>
      </c>
      <c r="B1024" s="104" t="s">
        <v>133</v>
      </c>
      <c r="C1024" s="104" t="s">
        <v>134</v>
      </c>
      <c r="D1024" s="105">
        <f t="shared" si="113"/>
        <v>206116</v>
      </c>
      <c r="E1024" s="105">
        <f t="shared" si="113"/>
        <v>3172</v>
      </c>
      <c r="F1024" s="105">
        <f t="shared" si="113"/>
        <v>209288</v>
      </c>
      <c r="G1024" s="92"/>
    </row>
    <row r="1025" spans="1:7" ht="13.15" customHeight="1" x14ac:dyDescent="0.2">
      <c r="A1025" s="106" t="s">
        <v>582</v>
      </c>
      <c r="B1025" s="107" t="s">
        <v>145</v>
      </c>
      <c r="C1025" s="107" t="s">
        <v>32</v>
      </c>
      <c r="D1025" s="108">
        <f t="shared" si="113"/>
        <v>206116</v>
      </c>
      <c r="E1025" s="108">
        <f t="shared" si="113"/>
        <v>3172</v>
      </c>
      <c r="F1025" s="108">
        <f t="shared" si="113"/>
        <v>209288</v>
      </c>
      <c r="G1025" s="92"/>
    </row>
    <row r="1026" spans="1:7" ht="13.15" customHeight="1" x14ac:dyDescent="0.2">
      <c r="A1026" s="109" t="s">
        <v>582</v>
      </c>
      <c r="B1026" s="87" t="s">
        <v>381</v>
      </c>
      <c r="C1026" s="87" t="s">
        <v>382</v>
      </c>
      <c r="D1026" s="110">
        <v>206116</v>
      </c>
      <c r="E1026" s="110">
        <v>3172</v>
      </c>
      <c r="F1026" s="110">
        <f>SUM(D1026:E1026)</f>
        <v>209288</v>
      </c>
      <c r="G1026" s="92" t="s">
        <v>584</v>
      </c>
    </row>
    <row r="1027" spans="1:7" ht="13.15" customHeight="1" x14ac:dyDescent="0.2">
      <c r="A1027" s="100" t="s">
        <v>585</v>
      </c>
      <c r="B1027" s="101"/>
      <c r="C1027" s="101" t="s">
        <v>586</v>
      </c>
      <c r="D1027" s="102">
        <f t="shared" ref="D1027:F1028" si="114">D1028</f>
        <v>16496</v>
      </c>
      <c r="E1027" s="102">
        <f t="shared" si="114"/>
        <v>0</v>
      </c>
      <c r="F1027" s="102">
        <f t="shared" si="114"/>
        <v>16496</v>
      </c>
      <c r="G1027" s="92"/>
    </row>
    <row r="1028" spans="1:7" ht="13.15" customHeight="1" x14ac:dyDescent="0.2">
      <c r="A1028" s="103" t="s">
        <v>585</v>
      </c>
      <c r="B1028" s="104" t="s">
        <v>133</v>
      </c>
      <c r="C1028" s="104" t="s">
        <v>134</v>
      </c>
      <c r="D1028" s="105">
        <f t="shared" si="114"/>
        <v>16496</v>
      </c>
      <c r="E1028" s="105">
        <f t="shared" si="114"/>
        <v>0</v>
      </c>
      <c r="F1028" s="105">
        <f t="shared" si="114"/>
        <v>16496</v>
      </c>
      <c r="G1028" s="92"/>
    </row>
    <row r="1029" spans="1:7" ht="13.15" customHeight="1" x14ac:dyDescent="0.2">
      <c r="A1029" s="106" t="s">
        <v>585</v>
      </c>
      <c r="B1029" s="107" t="s">
        <v>145</v>
      </c>
      <c r="C1029" s="107" t="s">
        <v>32</v>
      </c>
      <c r="D1029" s="108">
        <f>SUM(D1030:D1033)</f>
        <v>16496</v>
      </c>
      <c r="E1029" s="108">
        <f>SUM(E1030:E1033)</f>
        <v>0</v>
      </c>
      <c r="F1029" s="108">
        <f>SUM(F1030:F1033)</f>
        <v>16496</v>
      </c>
      <c r="G1029" s="92"/>
    </row>
    <row r="1030" spans="1:7" ht="13.15" customHeight="1" x14ac:dyDescent="0.2">
      <c r="A1030" s="109" t="s">
        <v>585</v>
      </c>
      <c r="B1030" s="87" t="s">
        <v>146</v>
      </c>
      <c r="C1030" s="87" t="s">
        <v>147</v>
      </c>
      <c r="D1030" s="110">
        <v>0</v>
      </c>
      <c r="E1030" s="110"/>
      <c r="F1030" s="110">
        <f>SUM(D1030:E1030)</f>
        <v>0</v>
      </c>
      <c r="G1030" s="92"/>
    </row>
    <row r="1031" spans="1:7" ht="13.15" customHeight="1" x14ac:dyDescent="0.2">
      <c r="A1031" s="109" t="s">
        <v>585</v>
      </c>
      <c r="B1031" s="87" t="s">
        <v>381</v>
      </c>
      <c r="C1031" s="87" t="s">
        <v>382</v>
      </c>
      <c r="D1031" s="110">
        <v>0</v>
      </c>
      <c r="E1031" s="110"/>
      <c r="F1031" s="110">
        <f>SUM(D1031:E1031)</f>
        <v>0</v>
      </c>
      <c r="G1031" s="92"/>
    </row>
    <row r="1032" spans="1:7" ht="13.15" customHeight="1" x14ac:dyDescent="0.2">
      <c r="A1032" s="109" t="s">
        <v>585</v>
      </c>
      <c r="B1032" s="87" t="s">
        <v>195</v>
      </c>
      <c r="C1032" s="87" t="s">
        <v>196</v>
      </c>
      <c r="D1032" s="110">
        <v>16496</v>
      </c>
      <c r="E1032" s="110"/>
      <c r="F1032" s="110">
        <f>SUM(D1032:E1032)</f>
        <v>16496</v>
      </c>
      <c r="G1032" s="92"/>
    </row>
    <row r="1033" spans="1:7" ht="13.15" customHeight="1" x14ac:dyDescent="0.2">
      <c r="A1033" s="109" t="s">
        <v>585</v>
      </c>
      <c r="B1033" s="87" t="s">
        <v>199</v>
      </c>
      <c r="C1033" s="87" t="s">
        <v>200</v>
      </c>
      <c r="D1033" s="110">
        <v>0</v>
      </c>
      <c r="E1033" s="110"/>
      <c r="F1033" s="110">
        <f>SUM(D1033:E1033)</f>
        <v>0</v>
      </c>
      <c r="G1033" s="92"/>
    </row>
    <row r="1034" spans="1:7" ht="13.15" customHeight="1" x14ac:dyDescent="0.2">
      <c r="A1034" s="122" t="s">
        <v>587</v>
      </c>
      <c r="B1034" s="123"/>
      <c r="C1034" s="123" t="s">
        <v>588</v>
      </c>
      <c r="D1034" s="124">
        <f t="shared" ref="D1034:F1034" si="115">+D1035+D1048</f>
        <v>140398</v>
      </c>
      <c r="E1034" s="124">
        <f>+E1035+E1048</f>
        <v>-68478</v>
      </c>
      <c r="F1034" s="124">
        <f t="shared" si="115"/>
        <v>71920</v>
      </c>
      <c r="G1034" s="92"/>
    </row>
    <row r="1035" spans="1:7" ht="13.15" customHeight="1" x14ac:dyDescent="0.2">
      <c r="A1035" s="100" t="s">
        <v>589</v>
      </c>
      <c r="B1035" s="101"/>
      <c r="C1035" s="101" t="s">
        <v>590</v>
      </c>
      <c r="D1035" s="102">
        <f>D1036</f>
        <v>93432</v>
      </c>
      <c r="E1035" s="102">
        <f>E1036</f>
        <v>-66222</v>
      </c>
      <c r="F1035" s="102">
        <f>F1036</f>
        <v>27210</v>
      </c>
      <c r="G1035" s="92"/>
    </row>
    <row r="1036" spans="1:7" ht="13.15" customHeight="1" x14ac:dyDescent="0.2">
      <c r="A1036" s="103" t="s">
        <v>589</v>
      </c>
      <c r="B1036" s="104" t="s">
        <v>133</v>
      </c>
      <c r="C1036" s="104" t="s">
        <v>134</v>
      </c>
      <c r="D1036" s="105">
        <f>D1037+D1040</f>
        <v>93432</v>
      </c>
      <c r="E1036" s="105">
        <f>E1037+E1040</f>
        <v>-66222</v>
      </c>
      <c r="F1036" s="105">
        <f>F1037+F1040</f>
        <v>27210</v>
      </c>
      <c r="G1036" s="167" t="s">
        <v>591</v>
      </c>
    </row>
    <row r="1037" spans="1:7" ht="13.15" customHeight="1" x14ac:dyDescent="0.2">
      <c r="A1037" s="106" t="s">
        <v>589</v>
      </c>
      <c r="B1037" s="107" t="s">
        <v>135</v>
      </c>
      <c r="C1037" s="107" t="s">
        <v>31</v>
      </c>
      <c r="D1037" s="108">
        <f>SUM(D1038:D1039)</f>
        <v>85187</v>
      </c>
      <c r="E1037" s="108">
        <f>SUM(E1038:E1039)</f>
        <v>-66222</v>
      </c>
      <c r="F1037" s="108">
        <f>SUM(F1038:F1039)</f>
        <v>18965</v>
      </c>
      <c r="G1037" s="168" t="s">
        <v>592</v>
      </c>
    </row>
    <row r="1038" spans="1:7" ht="13.15" customHeight="1" x14ac:dyDescent="0.2">
      <c r="A1038" s="109" t="s">
        <v>589</v>
      </c>
      <c r="B1038" s="87" t="s">
        <v>138</v>
      </c>
      <c r="C1038" s="87" t="s">
        <v>139</v>
      </c>
      <c r="D1038" s="110">
        <v>63906</v>
      </c>
      <c r="E1038" s="110">
        <v>-49546</v>
      </c>
      <c r="F1038" s="110">
        <f>SUM(D1038:E1038)</f>
        <v>14360</v>
      </c>
      <c r="G1038" s="168" t="s">
        <v>593</v>
      </c>
    </row>
    <row r="1039" spans="1:7" ht="13.15" customHeight="1" x14ac:dyDescent="0.2">
      <c r="A1039" s="109" t="s">
        <v>589</v>
      </c>
      <c r="B1039" s="87" t="s">
        <v>142</v>
      </c>
      <c r="C1039" s="87" t="s">
        <v>143</v>
      </c>
      <c r="D1039" s="110">
        <v>21281</v>
      </c>
      <c r="E1039" s="110">
        <f>-16747+71</f>
        <v>-16676</v>
      </c>
      <c r="F1039" s="110">
        <f>SUM(D1039:E1039)</f>
        <v>4605</v>
      </c>
      <c r="G1039" s="169" t="s">
        <v>594</v>
      </c>
    </row>
    <row r="1040" spans="1:7" ht="13.15" customHeight="1" x14ac:dyDescent="0.2">
      <c r="A1040" s="106" t="s">
        <v>589</v>
      </c>
      <c r="B1040" s="107" t="s">
        <v>145</v>
      </c>
      <c r="C1040" s="107" t="s">
        <v>32</v>
      </c>
      <c r="D1040" s="108">
        <f>SUM(D1041:D1047)</f>
        <v>8245</v>
      </c>
      <c r="E1040" s="108">
        <f>SUM(E1041:E1047)</f>
        <v>0</v>
      </c>
      <c r="F1040" s="108">
        <f>SUM(F1041:F1047)</f>
        <v>8245</v>
      </c>
      <c r="G1040" s="92"/>
    </row>
    <row r="1041" spans="1:7" ht="13.15" customHeight="1" x14ac:dyDescent="0.2">
      <c r="A1041" s="109" t="s">
        <v>589</v>
      </c>
      <c r="B1041" s="87" t="s">
        <v>146</v>
      </c>
      <c r="C1041" s="87" t="s">
        <v>147</v>
      </c>
      <c r="D1041" s="110">
        <v>907</v>
      </c>
      <c r="E1041" s="110"/>
      <c r="F1041" s="110">
        <f t="shared" ref="F1041:F1047" si="116">SUM(D1041:E1041)</f>
        <v>907</v>
      </c>
      <c r="G1041" s="92"/>
    </row>
    <row r="1042" spans="1:7" ht="13.15" customHeight="1" x14ac:dyDescent="0.2">
      <c r="A1042" s="109" t="s">
        <v>589</v>
      </c>
      <c r="B1042" s="87" t="s">
        <v>148</v>
      </c>
      <c r="C1042" s="87" t="s">
        <v>149</v>
      </c>
      <c r="D1042" s="110">
        <v>100</v>
      </c>
      <c r="E1042" s="110"/>
      <c r="F1042" s="110">
        <f t="shared" si="116"/>
        <v>100</v>
      </c>
      <c r="G1042" s="92"/>
    </row>
    <row r="1043" spans="1:7" ht="13.15" customHeight="1" x14ac:dyDescent="0.2">
      <c r="A1043" s="109" t="s">
        <v>589</v>
      </c>
      <c r="B1043" s="87" t="s">
        <v>150</v>
      </c>
      <c r="C1043" s="87" t="s">
        <v>151</v>
      </c>
      <c r="D1043" s="110">
        <v>200</v>
      </c>
      <c r="E1043" s="110"/>
      <c r="F1043" s="110">
        <f t="shared" si="116"/>
        <v>200</v>
      </c>
      <c r="G1043" s="92"/>
    </row>
    <row r="1044" spans="1:7" ht="13.15" customHeight="1" x14ac:dyDescent="0.2">
      <c r="A1044" s="109" t="s">
        <v>589</v>
      </c>
      <c r="B1044" s="87" t="s">
        <v>152</v>
      </c>
      <c r="C1044" s="87" t="s">
        <v>153</v>
      </c>
      <c r="D1044" s="110">
        <v>4838</v>
      </c>
      <c r="E1044" s="110"/>
      <c r="F1044" s="110">
        <f t="shared" si="116"/>
        <v>4838</v>
      </c>
      <c r="G1044" s="92"/>
    </row>
    <row r="1045" spans="1:7" ht="13.15" customHeight="1" x14ac:dyDescent="0.2">
      <c r="A1045" s="109" t="s">
        <v>589</v>
      </c>
      <c r="B1045" s="87" t="s">
        <v>154</v>
      </c>
      <c r="C1045" s="87" t="s">
        <v>155</v>
      </c>
      <c r="D1045" s="110">
        <v>0</v>
      </c>
      <c r="E1045" s="110"/>
      <c r="F1045" s="110">
        <f t="shared" si="116"/>
        <v>0</v>
      </c>
      <c r="G1045" s="92"/>
    </row>
    <row r="1046" spans="1:7" ht="13.15" customHeight="1" x14ac:dyDescent="0.2">
      <c r="A1046" s="109" t="s">
        <v>589</v>
      </c>
      <c r="B1046" s="87" t="s">
        <v>197</v>
      </c>
      <c r="C1046" s="87" t="s">
        <v>198</v>
      </c>
      <c r="D1046" s="110">
        <v>0</v>
      </c>
      <c r="E1046" s="110"/>
      <c r="F1046" s="110">
        <f t="shared" si="116"/>
        <v>0</v>
      </c>
      <c r="G1046" s="92"/>
    </row>
    <row r="1047" spans="1:7" ht="13.15" customHeight="1" x14ac:dyDescent="0.2">
      <c r="A1047" s="109" t="s">
        <v>589</v>
      </c>
      <c r="B1047" s="87" t="s">
        <v>199</v>
      </c>
      <c r="C1047" s="87" t="s">
        <v>200</v>
      </c>
      <c r="D1047" s="110">
        <v>2200</v>
      </c>
      <c r="E1047" s="110"/>
      <c r="F1047" s="110">
        <f t="shared" si="116"/>
        <v>2200</v>
      </c>
      <c r="G1047" s="92"/>
    </row>
    <row r="1048" spans="1:7" ht="13.15" customHeight="1" x14ac:dyDescent="0.2">
      <c r="A1048" s="100" t="s">
        <v>595</v>
      </c>
      <c r="B1048" s="101"/>
      <c r="C1048" s="101" t="s">
        <v>596</v>
      </c>
      <c r="D1048" s="102">
        <f>D1049+D1052</f>
        <v>46966</v>
      </c>
      <c r="E1048" s="102">
        <f>E1049+E1052</f>
        <v>-2256</v>
      </c>
      <c r="F1048" s="102">
        <f>F1049+F1052</f>
        <v>44710</v>
      </c>
      <c r="G1048" s="92"/>
    </row>
    <row r="1049" spans="1:7" ht="13.15" customHeight="1" x14ac:dyDescent="0.2">
      <c r="A1049" s="103" t="s">
        <v>595</v>
      </c>
      <c r="B1049" s="104" t="s">
        <v>166</v>
      </c>
      <c r="C1049" s="104" t="s">
        <v>167</v>
      </c>
      <c r="D1049" s="105">
        <f t="shared" ref="D1049:F1050" si="117">D1050</f>
        <v>0</v>
      </c>
      <c r="E1049" s="105">
        <f t="shared" si="117"/>
        <v>0</v>
      </c>
      <c r="F1049" s="105">
        <f t="shared" si="117"/>
        <v>0</v>
      </c>
      <c r="G1049" s="92"/>
    </row>
    <row r="1050" spans="1:7" ht="13.15" customHeight="1" x14ac:dyDescent="0.2">
      <c r="A1050" s="106" t="s">
        <v>595</v>
      </c>
      <c r="B1050" s="107" t="s">
        <v>219</v>
      </c>
      <c r="C1050" s="107" t="s">
        <v>220</v>
      </c>
      <c r="D1050" s="108">
        <f t="shared" si="117"/>
        <v>0</v>
      </c>
      <c r="E1050" s="108">
        <f t="shared" si="117"/>
        <v>0</v>
      </c>
      <c r="F1050" s="108">
        <f t="shared" si="117"/>
        <v>0</v>
      </c>
      <c r="G1050" s="92"/>
    </row>
    <row r="1051" spans="1:7" ht="13.15" customHeight="1" x14ac:dyDescent="0.2">
      <c r="A1051" s="109" t="s">
        <v>595</v>
      </c>
      <c r="B1051" s="87" t="s">
        <v>221</v>
      </c>
      <c r="C1051" s="87" t="s">
        <v>222</v>
      </c>
      <c r="D1051" s="110">
        <v>0</v>
      </c>
      <c r="E1051" s="110"/>
      <c r="F1051" s="110">
        <f>SUM(D1051:E1051)</f>
        <v>0</v>
      </c>
      <c r="G1051" s="118"/>
    </row>
    <row r="1052" spans="1:7" ht="13.15" customHeight="1" x14ac:dyDescent="0.2">
      <c r="A1052" s="103" t="s">
        <v>595</v>
      </c>
      <c r="B1052" s="104" t="s">
        <v>133</v>
      </c>
      <c r="C1052" s="104" t="s">
        <v>134</v>
      </c>
      <c r="D1052" s="105">
        <f>D1053</f>
        <v>46966</v>
      </c>
      <c r="E1052" s="105">
        <f>E1053</f>
        <v>-2256</v>
      </c>
      <c r="F1052" s="105">
        <f>F1053</f>
        <v>44710</v>
      </c>
      <c r="G1052" s="92"/>
    </row>
    <row r="1053" spans="1:7" ht="13.15" customHeight="1" x14ac:dyDescent="0.2">
      <c r="A1053" s="106" t="s">
        <v>595</v>
      </c>
      <c r="B1053" s="107" t="s">
        <v>145</v>
      </c>
      <c r="C1053" s="107" t="s">
        <v>32</v>
      </c>
      <c r="D1053" s="108">
        <f>SUM(D1054:D1062)</f>
        <v>46966</v>
      </c>
      <c r="E1053" s="108">
        <f>SUM(E1054:E1062)</f>
        <v>-2256</v>
      </c>
      <c r="F1053" s="108">
        <f>SUM(F1054:F1062)</f>
        <v>44710</v>
      </c>
      <c r="G1053" s="162" t="s">
        <v>597</v>
      </c>
    </row>
    <row r="1054" spans="1:7" ht="13.15" customHeight="1" x14ac:dyDescent="0.2">
      <c r="A1054" s="109" t="s">
        <v>595</v>
      </c>
      <c r="B1054" s="87" t="s">
        <v>146</v>
      </c>
      <c r="C1054" s="87" t="s">
        <v>147</v>
      </c>
      <c r="D1054" s="110">
        <v>1100</v>
      </c>
      <c r="E1054" s="110"/>
      <c r="F1054" s="110">
        <f t="shared" ref="F1054:F1062" si="118">SUM(D1054:E1054)</f>
        <v>1100</v>
      </c>
      <c r="G1054" s="92"/>
    </row>
    <row r="1055" spans="1:7" ht="13.15" customHeight="1" x14ac:dyDescent="0.2">
      <c r="A1055" s="109" t="s">
        <v>595</v>
      </c>
      <c r="B1055" s="87" t="s">
        <v>148</v>
      </c>
      <c r="C1055" s="87" t="s">
        <v>149</v>
      </c>
      <c r="D1055" s="110">
        <v>0</v>
      </c>
      <c r="E1055" s="110"/>
      <c r="F1055" s="110">
        <f t="shared" si="118"/>
        <v>0</v>
      </c>
      <c r="G1055" s="92"/>
    </row>
    <row r="1056" spans="1:7" ht="13.15" customHeight="1" x14ac:dyDescent="0.2">
      <c r="A1056" s="109" t="s">
        <v>595</v>
      </c>
      <c r="B1056" s="87" t="s">
        <v>150</v>
      </c>
      <c r="C1056" s="87" t="s">
        <v>151</v>
      </c>
      <c r="D1056" s="110">
        <v>620</v>
      </c>
      <c r="E1056" s="110"/>
      <c r="F1056" s="110">
        <f t="shared" si="118"/>
        <v>620</v>
      </c>
      <c r="G1056" s="92"/>
    </row>
    <row r="1057" spans="1:7" ht="13.15" customHeight="1" x14ac:dyDescent="0.2">
      <c r="A1057" s="109" t="s">
        <v>595</v>
      </c>
      <c r="B1057" s="87" t="s">
        <v>154</v>
      </c>
      <c r="C1057" s="87" t="s">
        <v>155</v>
      </c>
      <c r="D1057" s="110">
        <v>0</v>
      </c>
      <c r="E1057" s="110"/>
      <c r="F1057" s="110">
        <f t="shared" si="118"/>
        <v>0</v>
      </c>
      <c r="G1057" s="92"/>
    </row>
    <row r="1058" spans="1:7" ht="13.15" customHeight="1" x14ac:dyDescent="0.2">
      <c r="A1058" s="109" t="s">
        <v>595</v>
      </c>
      <c r="B1058" s="87" t="s">
        <v>156</v>
      </c>
      <c r="C1058" s="87" t="s">
        <v>157</v>
      </c>
      <c r="D1058" s="110">
        <v>0</v>
      </c>
      <c r="E1058" s="110"/>
      <c r="F1058" s="110">
        <f t="shared" si="118"/>
        <v>0</v>
      </c>
      <c r="G1058" s="92"/>
    </row>
    <row r="1059" spans="1:7" ht="13.15" customHeight="1" x14ac:dyDescent="0.2">
      <c r="A1059" s="109" t="s">
        <v>595</v>
      </c>
      <c r="B1059" s="87" t="s">
        <v>368</v>
      </c>
      <c r="C1059" s="87" t="s">
        <v>369</v>
      </c>
      <c r="D1059" s="110">
        <v>0</v>
      </c>
      <c r="E1059" s="110"/>
      <c r="F1059" s="110">
        <f t="shared" si="118"/>
        <v>0</v>
      </c>
      <c r="G1059" s="92"/>
    </row>
    <row r="1060" spans="1:7" ht="13.15" customHeight="1" x14ac:dyDescent="0.2">
      <c r="A1060" s="109" t="s">
        <v>595</v>
      </c>
      <c r="B1060" s="87" t="s">
        <v>381</v>
      </c>
      <c r="C1060" s="87" t="s">
        <v>382</v>
      </c>
      <c r="D1060" s="110">
        <v>4409</v>
      </c>
      <c r="E1060" s="110"/>
      <c r="F1060" s="110">
        <f t="shared" si="118"/>
        <v>4409</v>
      </c>
      <c r="G1060" s="92"/>
    </row>
    <row r="1061" spans="1:7" ht="13.15" customHeight="1" x14ac:dyDescent="0.2">
      <c r="A1061" s="109" t="s">
        <v>595</v>
      </c>
      <c r="B1061" s="87" t="s">
        <v>195</v>
      </c>
      <c r="C1061" s="87" t="s">
        <v>196</v>
      </c>
      <c r="D1061" s="110">
        <v>0</v>
      </c>
      <c r="E1061" s="110"/>
      <c r="F1061" s="110">
        <f t="shared" si="118"/>
        <v>0</v>
      </c>
      <c r="G1061" s="92"/>
    </row>
    <row r="1062" spans="1:7" ht="13.15" customHeight="1" x14ac:dyDescent="0.2">
      <c r="A1062" s="109" t="s">
        <v>595</v>
      </c>
      <c r="B1062" s="87" t="s">
        <v>199</v>
      </c>
      <c r="C1062" s="87" t="s">
        <v>200</v>
      </c>
      <c r="D1062" s="110">
        <v>40837</v>
      </c>
      <c r="E1062" s="110">
        <v>-2256</v>
      </c>
      <c r="F1062" s="110">
        <f t="shared" si="118"/>
        <v>38581</v>
      </c>
      <c r="G1062" s="140"/>
    </row>
    <row r="1063" spans="1:7" ht="13.15" customHeight="1" x14ac:dyDescent="0.2">
      <c r="A1063" s="97" t="s">
        <v>101</v>
      </c>
      <c r="B1063" s="98"/>
      <c r="C1063" s="98" t="s">
        <v>598</v>
      </c>
      <c r="D1063" s="99">
        <f>+D1064+D1084+D1093+D1102+D1107+D1115+D1128+D1144+D1148+D1162+D1172+D1176+D1180+D1184+D1192+D1196+D1200+D1204+D1212+D1216+D1238+D1252+D1269+D1276+D1280+D1284+D1288+D1298+D1330+D1348</f>
        <v>1562383</v>
      </c>
      <c r="E1063" s="99">
        <f>+E1064+E1084+E1093+E1102+E1107+E1115+E1128+E1144+E1148+E1162+E1172+E1176+E1180+E1184+E1192+E1196+E1200+E1204+E1212+E1216+E1238+E1252+E1269+E1276+E1280+E1284+E1288+E1298+E1330+E1348</f>
        <v>231964.78</v>
      </c>
      <c r="F1063" s="99">
        <f>+F1064+F1084+F1093+F1102+F1107+F1115+F1128+F1144+F1148+F1162+F1172+F1176+F1180+F1184+F1192+F1196+F1200+F1204+F1212+F1216+F1238+F1252+F1269+F1276+F1280+F1284+F1288+F1298+F1330+F1348</f>
        <v>1794347.78</v>
      </c>
      <c r="G1063" s="92"/>
    </row>
    <row r="1064" spans="1:7" ht="13.15" customHeight="1" x14ac:dyDescent="0.2">
      <c r="A1064" s="100" t="s">
        <v>599</v>
      </c>
      <c r="B1064" s="101"/>
      <c r="C1064" s="101" t="s">
        <v>600</v>
      </c>
      <c r="D1064" s="102">
        <f>+D1065</f>
        <v>42441</v>
      </c>
      <c r="E1064" s="102">
        <f>+E1065</f>
        <v>200</v>
      </c>
      <c r="F1064" s="102">
        <f>+F1065</f>
        <v>42641</v>
      </c>
      <c r="G1064" s="92"/>
    </row>
    <row r="1065" spans="1:7" ht="13.15" customHeight="1" x14ac:dyDescent="0.2">
      <c r="A1065" s="103" t="s">
        <v>599</v>
      </c>
      <c r="B1065" s="104" t="s">
        <v>133</v>
      </c>
      <c r="C1065" s="104" t="s">
        <v>134</v>
      </c>
      <c r="D1065" s="105">
        <f>+D1066+D1069</f>
        <v>42441</v>
      </c>
      <c r="E1065" s="105">
        <f>+E1066+E1069</f>
        <v>200</v>
      </c>
      <c r="F1065" s="105">
        <f>+F1066+F1069</f>
        <v>42641</v>
      </c>
      <c r="G1065" s="92"/>
    </row>
    <row r="1066" spans="1:7" ht="13.15" customHeight="1" x14ac:dyDescent="0.2">
      <c r="A1066" s="106" t="s">
        <v>599</v>
      </c>
      <c r="B1066" s="107" t="s">
        <v>135</v>
      </c>
      <c r="C1066" s="107" t="s">
        <v>31</v>
      </c>
      <c r="D1066" s="108">
        <f>SUM(D1067:D1068)</f>
        <v>33741</v>
      </c>
      <c r="E1066" s="108">
        <f>SUM(E1067:E1068)</f>
        <v>200</v>
      </c>
      <c r="F1066" s="108">
        <f>SUM(F1067:F1068)</f>
        <v>33941</v>
      </c>
      <c r="G1066" s="92"/>
    </row>
    <row r="1067" spans="1:7" ht="13.15" customHeight="1" x14ac:dyDescent="0.2">
      <c r="A1067" s="109" t="s">
        <v>599</v>
      </c>
      <c r="B1067" s="87" t="s">
        <v>138</v>
      </c>
      <c r="C1067" s="87" t="s">
        <v>139</v>
      </c>
      <c r="D1067" s="110">
        <v>25312</v>
      </c>
      <c r="E1067" s="110"/>
      <c r="F1067" s="110">
        <f>SUM(D1067:E1067)</f>
        <v>25312</v>
      </c>
      <c r="G1067" s="92"/>
    </row>
    <row r="1068" spans="1:7" ht="13.15" customHeight="1" x14ac:dyDescent="0.2">
      <c r="A1068" s="109" t="s">
        <v>599</v>
      </c>
      <c r="B1068" s="87" t="s">
        <v>142</v>
      </c>
      <c r="C1068" s="87" t="s">
        <v>143</v>
      </c>
      <c r="D1068" s="110">
        <v>8429</v>
      </c>
      <c r="E1068" s="110">
        <v>200</v>
      </c>
      <c r="F1068" s="110">
        <f>SUM(D1068:E1068)</f>
        <v>8629</v>
      </c>
      <c r="G1068" s="92" t="s">
        <v>144</v>
      </c>
    </row>
    <row r="1069" spans="1:7" ht="13.15" customHeight="1" x14ac:dyDescent="0.2">
      <c r="A1069" s="106" t="s">
        <v>599</v>
      </c>
      <c r="B1069" s="107" t="s">
        <v>145</v>
      </c>
      <c r="C1069" s="107" t="s">
        <v>32</v>
      </c>
      <c r="D1069" s="108">
        <f>SUM(D1070:D1083)-D1071</f>
        <v>8700</v>
      </c>
      <c r="E1069" s="108">
        <f>SUM(E1070:E1083)-E1071</f>
        <v>0</v>
      </c>
      <c r="F1069" s="108">
        <f>SUM(F1070:F1083)-F1071</f>
        <v>8700</v>
      </c>
      <c r="G1069" s="92"/>
    </row>
    <row r="1070" spans="1:7" ht="13.15" customHeight="1" x14ac:dyDescent="0.2">
      <c r="A1070" s="109" t="s">
        <v>599</v>
      </c>
      <c r="B1070" s="87" t="s">
        <v>146</v>
      </c>
      <c r="C1070" s="87" t="s">
        <v>147</v>
      </c>
      <c r="D1070" s="110">
        <v>800</v>
      </c>
      <c r="E1070" s="110"/>
      <c r="F1070" s="110">
        <f>SUM(D1070:E1070)</f>
        <v>800</v>
      </c>
      <c r="G1070" s="92"/>
    </row>
    <row r="1071" spans="1:7" ht="13.15" customHeight="1" x14ac:dyDescent="0.2">
      <c r="A1071" s="111" t="s">
        <v>599</v>
      </c>
      <c r="B1071" s="112" t="s">
        <v>176</v>
      </c>
      <c r="C1071" s="112" t="s">
        <v>177</v>
      </c>
      <c r="D1071" s="113">
        <f>SUM(D1072:D1079)</f>
        <v>6100</v>
      </c>
      <c r="E1071" s="113">
        <f>SUM(E1072:E1079)</f>
        <v>0</v>
      </c>
      <c r="F1071" s="113">
        <f>SUM(F1072:F1079)</f>
        <v>6100</v>
      </c>
      <c r="G1071" s="92"/>
    </row>
    <row r="1072" spans="1:7" ht="13.15" customHeight="1" x14ac:dyDescent="0.2">
      <c r="A1072" s="114" t="s">
        <v>599</v>
      </c>
      <c r="B1072" s="115" t="s">
        <v>178</v>
      </c>
      <c r="C1072" s="115" t="s">
        <v>179</v>
      </c>
      <c r="D1072" s="116">
        <v>1500</v>
      </c>
      <c r="E1072" s="116"/>
      <c r="F1072" s="116">
        <f t="shared" ref="F1072:F1083" si="119">SUM(D1072:E1072)</f>
        <v>1500</v>
      </c>
      <c r="G1072" s="92"/>
    </row>
    <row r="1073" spans="1:7" ht="13.15" customHeight="1" x14ac:dyDescent="0.2">
      <c r="A1073" s="114" t="s">
        <v>599</v>
      </c>
      <c r="B1073" s="115" t="s">
        <v>180</v>
      </c>
      <c r="C1073" s="115" t="s">
        <v>75</v>
      </c>
      <c r="D1073" s="116">
        <v>1400</v>
      </c>
      <c r="E1073" s="116"/>
      <c r="F1073" s="116">
        <f t="shared" si="119"/>
        <v>1400</v>
      </c>
      <c r="G1073" s="92"/>
    </row>
    <row r="1074" spans="1:7" ht="13.15" customHeight="1" x14ac:dyDescent="0.2">
      <c r="A1074" s="114" t="s">
        <v>599</v>
      </c>
      <c r="B1074" s="115" t="s">
        <v>181</v>
      </c>
      <c r="C1074" s="115" t="s">
        <v>182</v>
      </c>
      <c r="D1074" s="116">
        <v>200</v>
      </c>
      <c r="E1074" s="116"/>
      <c r="F1074" s="116">
        <f t="shared" si="119"/>
        <v>200</v>
      </c>
      <c r="G1074" s="92"/>
    </row>
    <row r="1075" spans="1:7" ht="13.15" customHeight="1" x14ac:dyDescent="0.2">
      <c r="A1075" s="114" t="s">
        <v>599</v>
      </c>
      <c r="B1075" s="115" t="s">
        <v>183</v>
      </c>
      <c r="C1075" s="115" t="s">
        <v>184</v>
      </c>
      <c r="D1075" s="116">
        <v>900</v>
      </c>
      <c r="E1075" s="116"/>
      <c r="F1075" s="116">
        <f t="shared" si="119"/>
        <v>900</v>
      </c>
      <c r="G1075" s="92"/>
    </row>
    <row r="1076" spans="1:7" ht="13.15" customHeight="1" x14ac:dyDescent="0.2">
      <c r="A1076" s="114" t="s">
        <v>599</v>
      </c>
      <c r="B1076" s="115" t="s">
        <v>185</v>
      </c>
      <c r="C1076" s="115" t="s">
        <v>186</v>
      </c>
      <c r="D1076" s="116">
        <v>1200</v>
      </c>
      <c r="E1076" s="116"/>
      <c r="F1076" s="116">
        <f t="shared" si="119"/>
        <v>1200</v>
      </c>
      <c r="G1076" s="92"/>
    </row>
    <row r="1077" spans="1:7" ht="13.15" customHeight="1" x14ac:dyDescent="0.2">
      <c r="A1077" s="114" t="s">
        <v>599</v>
      </c>
      <c r="B1077" s="115" t="s">
        <v>187</v>
      </c>
      <c r="C1077" s="115" t="s">
        <v>188</v>
      </c>
      <c r="D1077" s="116">
        <v>800</v>
      </c>
      <c r="E1077" s="116"/>
      <c r="F1077" s="116">
        <f t="shared" si="119"/>
        <v>800</v>
      </c>
      <c r="G1077" s="92"/>
    </row>
    <row r="1078" spans="1:7" ht="13.15" customHeight="1" x14ac:dyDescent="0.2">
      <c r="A1078" s="114" t="s">
        <v>599</v>
      </c>
      <c r="B1078" s="115" t="s">
        <v>189</v>
      </c>
      <c r="C1078" s="115" t="s">
        <v>190</v>
      </c>
      <c r="D1078" s="116">
        <v>100</v>
      </c>
      <c r="E1078" s="116"/>
      <c r="F1078" s="116">
        <f t="shared" si="119"/>
        <v>100</v>
      </c>
      <c r="G1078" s="92"/>
    </row>
    <row r="1079" spans="1:7" ht="13.15" customHeight="1" x14ac:dyDescent="0.2">
      <c r="A1079" s="114" t="s">
        <v>599</v>
      </c>
      <c r="B1079" s="115" t="s">
        <v>191</v>
      </c>
      <c r="C1079" s="115" t="s">
        <v>192</v>
      </c>
      <c r="D1079" s="116">
        <v>0</v>
      </c>
      <c r="E1079" s="116"/>
      <c r="F1079" s="116">
        <f t="shared" si="119"/>
        <v>0</v>
      </c>
      <c r="G1079" s="92"/>
    </row>
    <row r="1080" spans="1:7" ht="13.15" customHeight="1" x14ac:dyDescent="0.2">
      <c r="A1080" s="109" t="s">
        <v>599</v>
      </c>
      <c r="B1080" s="87" t="s">
        <v>154</v>
      </c>
      <c r="C1080" s="87" t="s">
        <v>155</v>
      </c>
      <c r="D1080" s="110">
        <v>300</v>
      </c>
      <c r="E1080" s="110"/>
      <c r="F1080" s="110">
        <f t="shared" si="119"/>
        <v>300</v>
      </c>
      <c r="G1080" s="92"/>
    </row>
    <row r="1081" spans="1:7" ht="13.15" customHeight="1" x14ac:dyDescent="0.2">
      <c r="A1081" s="109" t="s">
        <v>599</v>
      </c>
      <c r="B1081" s="87" t="s">
        <v>156</v>
      </c>
      <c r="C1081" s="87" t="s">
        <v>157</v>
      </c>
      <c r="D1081" s="110">
        <v>400</v>
      </c>
      <c r="E1081" s="110"/>
      <c r="F1081" s="110">
        <f t="shared" si="119"/>
        <v>400</v>
      </c>
      <c r="G1081" s="92"/>
    </row>
    <row r="1082" spans="1:7" ht="13.15" customHeight="1" x14ac:dyDescent="0.2">
      <c r="A1082" s="109" t="s">
        <v>599</v>
      </c>
      <c r="B1082" s="87" t="s">
        <v>368</v>
      </c>
      <c r="C1082" s="87" t="s">
        <v>369</v>
      </c>
      <c r="D1082" s="110">
        <v>1000</v>
      </c>
      <c r="E1082" s="110"/>
      <c r="F1082" s="110">
        <f t="shared" si="119"/>
        <v>1000</v>
      </c>
      <c r="G1082" s="92"/>
    </row>
    <row r="1083" spans="1:7" ht="13.15" customHeight="1" x14ac:dyDescent="0.2">
      <c r="A1083" s="109" t="s">
        <v>599</v>
      </c>
      <c r="B1083" s="87" t="s">
        <v>381</v>
      </c>
      <c r="C1083" s="87" t="s">
        <v>382</v>
      </c>
      <c r="D1083" s="110">
        <v>100</v>
      </c>
      <c r="E1083" s="110"/>
      <c r="F1083" s="110">
        <f t="shared" si="119"/>
        <v>100</v>
      </c>
      <c r="G1083" s="92"/>
    </row>
    <row r="1084" spans="1:7" ht="13.15" customHeight="1" x14ac:dyDescent="0.2">
      <c r="A1084" s="100" t="s">
        <v>601</v>
      </c>
      <c r="B1084" s="101"/>
      <c r="C1084" s="101" t="s">
        <v>602</v>
      </c>
      <c r="D1084" s="102">
        <f>+D1085+D1090</f>
        <v>20500</v>
      </c>
      <c r="E1084" s="102">
        <f>+E1085+E1090</f>
        <v>0</v>
      </c>
      <c r="F1084" s="102">
        <f>+F1085+F1090</f>
        <v>20500</v>
      </c>
      <c r="G1084" s="92"/>
    </row>
    <row r="1085" spans="1:7" ht="13.15" customHeight="1" x14ac:dyDescent="0.2">
      <c r="A1085" s="103" t="s">
        <v>601</v>
      </c>
      <c r="B1085" s="104" t="s">
        <v>166</v>
      </c>
      <c r="C1085" s="104" t="s">
        <v>167</v>
      </c>
      <c r="D1085" s="105">
        <f>+D1086+D1088</f>
        <v>17500</v>
      </c>
      <c r="E1085" s="105">
        <f>+E1086+E1088</f>
        <v>0</v>
      </c>
      <c r="F1085" s="105">
        <f>+F1086+F1088</f>
        <v>17500</v>
      </c>
      <c r="G1085" s="92"/>
    </row>
    <row r="1086" spans="1:7" ht="13.15" customHeight="1" x14ac:dyDescent="0.2">
      <c r="A1086" s="106" t="s">
        <v>601</v>
      </c>
      <c r="B1086" s="107" t="s">
        <v>168</v>
      </c>
      <c r="C1086" s="107" t="s">
        <v>169</v>
      </c>
      <c r="D1086" s="108">
        <f>+D1087</f>
        <v>12000</v>
      </c>
      <c r="E1086" s="108">
        <f>+E1087</f>
        <v>0</v>
      </c>
      <c r="F1086" s="108">
        <f>+F1087</f>
        <v>12000</v>
      </c>
      <c r="G1086" s="92"/>
    </row>
    <row r="1087" spans="1:7" ht="13.15" customHeight="1" x14ac:dyDescent="0.2">
      <c r="A1087" s="109" t="s">
        <v>601</v>
      </c>
      <c r="B1087" s="87" t="s">
        <v>603</v>
      </c>
      <c r="C1087" s="87" t="s">
        <v>604</v>
      </c>
      <c r="D1087" s="110">
        <v>12000</v>
      </c>
      <c r="E1087" s="110"/>
      <c r="F1087" s="110">
        <f>SUM(D1087:E1087)</f>
        <v>12000</v>
      </c>
      <c r="G1087" s="92"/>
    </row>
    <row r="1088" spans="1:7" ht="13.15" customHeight="1" x14ac:dyDescent="0.2">
      <c r="A1088" s="106" t="s">
        <v>601</v>
      </c>
      <c r="B1088" s="107" t="s">
        <v>219</v>
      </c>
      <c r="C1088" s="107" t="s">
        <v>220</v>
      </c>
      <c r="D1088" s="108">
        <f>+D1089</f>
        <v>5500</v>
      </c>
      <c r="E1088" s="108">
        <f>+E1089</f>
        <v>0</v>
      </c>
      <c r="F1088" s="108">
        <f>+F1089</f>
        <v>5500</v>
      </c>
      <c r="G1088" s="92"/>
    </row>
    <row r="1089" spans="1:7" ht="13.15" customHeight="1" x14ac:dyDescent="0.2">
      <c r="A1089" s="109" t="s">
        <v>601</v>
      </c>
      <c r="B1089" s="87" t="s">
        <v>221</v>
      </c>
      <c r="C1089" s="87" t="s">
        <v>222</v>
      </c>
      <c r="D1089" s="110">
        <v>5500</v>
      </c>
      <c r="E1089" s="110"/>
      <c r="F1089" s="110">
        <f>SUM(D1089:E1089)</f>
        <v>5500</v>
      </c>
      <c r="G1089" s="92"/>
    </row>
    <row r="1090" spans="1:7" ht="13.15" customHeight="1" x14ac:dyDescent="0.2">
      <c r="A1090" s="103" t="s">
        <v>601</v>
      </c>
      <c r="B1090" s="104" t="s">
        <v>133</v>
      </c>
      <c r="C1090" s="104" t="s">
        <v>134</v>
      </c>
      <c r="D1090" s="105">
        <f t="shared" ref="D1090:F1091" si="120">+D1091</f>
        <v>3000</v>
      </c>
      <c r="E1090" s="105">
        <f t="shared" si="120"/>
        <v>0</v>
      </c>
      <c r="F1090" s="105">
        <f t="shared" si="120"/>
        <v>3000</v>
      </c>
      <c r="G1090" s="92"/>
    </row>
    <row r="1091" spans="1:7" ht="13.15" customHeight="1" x14ac:dyDescent="0.2">
      <c r="A1091" s="106" t="s">
        <v>601</v>
      </c>
      <c r="B1091" s="107" t="s">
        <v>145</v>
      </c>
      <c r="C1091" s="107" t="s">
        <v>32</v>
      </c>
      <c r="D1091" s="108">
        <f t="shared" si="120"/>
        <v>3000</v>
      </c>
      <c r="E1091" s="108">
        <f t="shared" si="120"/>
        <v>0</v>
      </c>
      <c r="F1091" s="108">
        <f t="shared" si="120"/>
        <v>3000</v>
      </c>
      <c r="G1091" s="92"/>
    </row>
    <row r="1092" spans="1:7" ht="13.15" customHeight="1" x14ac:dyDescent="0.2">
      <c r="A1092" s="109" t="s">
        <v>601</v>
      </c>
      <c r="B1092" s="87" t="s">
        <v>605</v>
      </c>
      <c r="C1092" s="87" t="s">
        <v>606</v>
      </c>
      <c r="D1092" s="110">
        <v>3000</v>
      </c>
      <c r="E1092" s="110"/>
      <c r="F1092" s="110">
        <f>SUM(D1092:E1092)</f>
        <v>3000</v>
      </c>
      <c r="G1092" s="92"/>
    </row>
    <row r="1093" spans="1:7" ht="13.15" customHeight="1" x14ac:dyDescent="0.2">
      <c r="A1093" s="100" t="s">
        <v>607</v>
      </c>
      <c r="B1093" s="101"/>
      <c r="C1093" s="101" t="s">
        <v>608</v>
      </c>
      <c r="D1093" s="102">
        <f>+D1094+D1099</f>
        <v>25297</v>
      </c>
      <c r="E1093" s="102">
        <f>+E1094+E1099</f>
        <v>35865</v>
      </c>
      <c r="F1093" s="102">
        <f>+F1094+F1099</f>
        <v>61162</v>
      </c>
      <c r="G1093" s="92"/>
    </row>
    <row r="1094" spans="1:7" ht="13.15" customHeight="1" x14ac:dyDescent="0.2">
      <c r="A1094" s="103" t="s">
        <v>607</v>
      </c>
      <c r="B1094" s="104" t="s">
        <v>166</v>
      </c>
      <c r="C1094" s="104" t="s">
        <v>167</v>
      </c>
      <c r="D1094" s="105">
        <f>+D1095</f>
        <v>21297</v>
      </c>
      <c r="E1094" s="105">
        <f>+E1095</f>
        <v>35865</v>
      </c>
      <c r="F1094" s="105">
        <f>+F1095</f>
        <v>57162</v>
      </c>
      <c r="G1094" s="92"/>
    </row>
    <row r="1095" spans="1:7" ht="13.15" customHeight="1" x14ac:dyDescent="0.2">
      <c r="A1095" s="106" t="s">
        <v>607</v>
      </c>
      <c r="B1095" s="107" t="s">
        <v>168</v>
      </c>
      <c r="C1095" s="107" t="s">
        <v>169</v>
      </c>
      <c r="D1095" s="108">
        <f>SUM(D1096:D1098)</f>
        <v>21297</v>
      </c>
      <c r="E1095" s="108">
        <f>SUM(E1096:E1098)</f>
        <v>35865</v>
      </c>
      <c r="F1095" s="108">
        <f>SUM(F1096:F1098)</f>
        <v>57162</v>
      </c>
      <c r="G1095" s="92"/>
    </row>
    <row r="1096" spans="1:7" ht="13.15" customHeight="1" x14ac:dyDescent="0.2">
      <c r="A1096" s="109" t="s">
        <v>607</v>
      </c>
      <c r="B1096" s="87" t="s">
        <v>603</v>
      </c>
      <c r="C1096" s="87" t="s">
        <v>604</v>
      </c>
      <c r="D1096" s="110">
        <v>4000</v>
      </c>
      <c r="E1096" s="110">
        <v>35865</v>
      </c>
      <c r="F1096" s="110">
        <f>SUM(D1096:E1096)</f>
        <v>39865</v>
      </c>
      <c r="G1096" s="92" t="s">
        <v>609</v>
      </c>
    </row>
    <row r="1097" spans="1:7" ht="13.15" customHeight="1" x14ac:dyDescent="0.2">
      <c r="A1097" s="109" t="s">
        <v>607</v>
      </c>
      <c r="B1097" s="87" t="s">
        <v>610</v>
      </c>
      <c r="C1097" s="87" t="s">
        <v>611</v>
      </c>
      <c r="D1097" s="110">
        <v>12000</v>
      </c>
      <c r="E1097" s="110"/>
      <c r="F1097" s="110">
        <f>SUM(D1097:E1097)</f>
        <v>12000</v>
      </c>
      <c r="G1097" s="92"/>
    </row>
    <row r="1098" spans="1:7" ht="13.15" customHeight="1" x14ac:dyDescent="0.2">
      <c r="A1098" s="109" t="s">
        <v>607</v>
      </c>
      <c r="B1098" s="87" t="s">
        <v>612</v>
      </c>
      <c r="C1098" s="87" t="s">
        <v>613</v>
      </c>
      <c r="D1098" s="110">
        <v>5297</v>
      </c>
      <c r="E1098" s="110"/>
      <c r="F1098" s="110">
        <f>SUM(D1098:E1098)</f>
        <v>5297</v>
      </c>
      <c r="G1098" s="92"/>
    </row>
    <row r="1099" spans="1:7" ht="13.15" customHeight="1" x14ac:dyDescent="0.2">
      <c r="A1099" s="103" t="s">
        <v>607</v>
      </c>
      <c r="B1099" s="104" t="s">
        <v>133</v>
      </c>
      <c r="C1099" s="104" t="s">
        <v>134</v>
      </c>
      <c r="D1099" s="105">
        <f t="shared" ref="D1099:F1100" si="121">+D1100</f>
        <v>4000</v>
      </c>
      <c r="E1099" s="105">
        <f t="shared" si="121"/>
        <v>0</v>
      </c>
      <c r="F1099" s="105">
        <f t="shared" si="121"/>
        <v>4000</v>
      </c>
      <c r="G1099" s="92"/>
    </row>
    <row r="1100" spans="1:7" ht="13.15" customHeight="1" x14ac:dyDescent="0.2">
      <c r="A1100" s="106" t="s">
        <v>607</v>
      </c>
      <c r="B1100" s="107" t="s">
        <v>145</v>
      </c>
      <c r="C1100" s="107" t="s">
        <v>32</v>
      </c>
      <c r="D1100" s="108">
        <f t="shared" si="121"/>
        <v>4000</v>
      </c>
      <c r="E1100" s="108">
        <f t="shared" si="121"/>
        <v>0</v>
      </c>
      <c r="F1100" s="108">
        <f t="shared" si="121"/>
        <v>4000</v>
      </c>
      <c r="G1100" s="92"/>
    </row>
    <row r="1101" spans="1:7" ht="13.15" customHeight="1" x14ac:dyDescent="0.2">
      <c r="A1101" s="109" t="s">
        <v>607</v>
      </c>
      <c r="B1101" s="87" t="s">
        <v>605</v>
      </c>
      <c r="C1101" s="87" t="s">
        <v>606</v>
      </c>
      <c r="D1101" s="110">
        <v>4000</v>
      </c>
      <c r="E1101" s="110"/>
      <c r="F1101" s="110">
        <f>SUM(D1101:E1101)</f>
        <v>4000</v>
      </c>
      <c r="G1101" s="92"/>
    </row>
    <row r="1102" spans="1:7" ht="13.15" customHeight="1" x14ac:dyDescent="0.2">
      <c r="A1102" s="100" t="s">
        <v>614</v>
      </c>
      <c r="B1102" s="101"/>
      <c r="C1102" s="101" t="s">
        <v>615</v>
      </c>
      <c r="D1102" s="102">
        <f t="shared" ref="D1102:F1103" si="122">+D1103</f>
        <v>24000</v>
      </c>
      <c r="E1102" s="102">
        <f t="shared" si="122"/>
        <v>0</v>
      </c>
      <c r="F1102" s="102">
        <f t="shared" si="122"/>
        <v>24000</v>
      </c>
      <c r="G1102" s="92"/>
    </row>
    <row r="1103" spans="1:7" ht="13.15" customHeight="1" x14ac:dyDescent="0.2">
      <c r="A1103" s="103" t="s">
        <v>614</v>
      </c>
      <c r="B1103" s="104" t="s">
        <v>166</v>
      </c>
      <c r="C1103" s="104" t="s">
        <v>167</v>
      </c>
      <c r="D1103" s="105">
        <f t="shared" si="122"/>
        <v>24000</v>
      </c>
      <c r="E1103" s="105">
        <f t="shared" si="122"/>
        <v>0</v>
      </c>
      <c r="F1103" s="105">
        <f t="shared" si="122"/>
        <v>24000</v>
      </c>
      <c r="G1103" s="92"/>
    </row>
    <row r="1104" spans="1:7" ht="13.15" customHeight="1" x14ac:dyDescent="0.2">
      <c r="A1104" s="106" t="s">
        <v>614</v>
      </c>
      <c r="B1104" s="107" t="s">
        <v>168</v>
      </c>
      <c r="C1104" s="107" t="s">
        <v>169</v>
      </c>
      <c r="D1104" s="108">
        <f>SUM(D1105:D1106)</f>
        <v>24000</v>
      </c>
      <c r="E1104" s="108">
        <f>SUM(E1105:E1106)</f>
        <v>0</v>
      </c>
      <c r="F1104" s="108">
        <f>SUM(F1105:F1106)</f>
        <v>24000</v>
      </c>
      <c r="G1104" s="92"/>
    </row>
    <row r="1105" spans="1:7" ht="13.15" customHeight="1" x14ac:dyDescent="0.2">
      <c r="A1105" s="109" t="s">
        <v>614</v>
      </c>
      <c r="B1105" s="87" t="s">
        <v>603</v>
      </c>
      <c r="C1105" s="87" t="s">
        <v>604</v>
      </c>
      <c r="D1105" s="110">
        <v>20000</v>
      </c>
      <c r="E1105" s="110"/>
      <c r="F1105" s="110">
        <f>SUM(D1105:E1105)</f>
        <v>20000</v>
      </c>
      <c r="G1105" s="92"/>
    </row>
    <row r="1106" spans="1:7" ht="13.15" customHeight="1" x14ac:dyDescent="0.2">
      <c r="A1106" s="109" t="s">
        <v>614</v>
      </c>
      <c r="B1106" s="87" t="s">
        <v>610</v>
      </c>
      <c r="C1106" s="87" t="s">
        <v>611</v>
      </c>
      <c r="D1106" s="110">
        <v>4000</v>
      </c>
      <c r="E1106" s="110"/>
      <c r="F1106" s="110">
        <f>SUM(D1106:E1106)</f>
        <v>4000</v>
      </c>
      <c r="G1106" s="92"/>
    </row>
    <row r="1107" spans="1:7" ht="13.15" customHeight="1" x14ac:dyDescent="0.2">
      <c r="A1107" s="100" t="s">
        <v>616</v>
      </c>
      <c r="B1107" s="101"/>
      <c r="C1107" s="101" t="s">
        <v>617</v>
      </c>
      <c r="D1107" s="102">
        <f>+D1108+D1111</f>
        <v>200200</v>
      </c>
      <c r="E1107" s="102">
        <f>+E1108+E1111</f>
        <v>10000</v>
      </c>
      <c r="F1107" s="102">
        <f>+F1108+F1111</f>
        <v>210200</v>
      </c>
      <c r="G1107" s="92"/>
    </row>
    <row r="1108" spans="1:7" ht="13.15" customHeight="1" x14ac:dyDescent="0.2">
      <c r="A1108" s="103" t="s">
        <v>616</v>
      </c>
      <c r="B1108" s="104" t="s">
        <v>133</v>
      </c>
      <c r="C1108" s="104" t="s">
        <v>134</v>
      </c>
      <c r="D1108" s="105">
        <f t="shared" ref="D1108:F1109" si="123">+D1109</f>
        <v>200000</v>
      </c>
      <c r="E1108" s="105">
        <f t="shared" si="123"/>
        <v>10000</v>
      </c>
      <c r="F1108" s="105">
        <f t="shared" si="123"/>
        <v>210000</v>
      </c>
      <c r="G1108" s="92"/>
    </row>
    <row r="1109" spans="1:7" ht="13.15" customHeight="1" x14ac:dyDescent="0.2">
      <c r="A1109" s="106" t="s">
        <v>616</v>
      </c>
      <c r="B1109" s="107" t="s">
        <v>145</v>
      </c>
      <c r="C1109" s="107" t="s">
        <v>32</v>
      </c>
      <c r="D1109" s="108">
        <f t="shared" si="123"/>
        <v>200000</v>
      </c>
      <c r="E1109" s="108">
        <f t="shared" si="123"/>
        <v>10000</v>
      </c>
      <c r="F1109" s="108">
        <f t="shared" si="123"/>
        <v>210000</v>
      </c>
      <c r="G1109" s="92"/>
    </row>
    <row r="1110" spans="1:7" ht="13.15" customHeight="1" x14ac:dyDescent="0.2">
      <c r="A1110" s="109" t="s">
        <v>616</v>
      </c>
      <c r="B1110" s="87" t="s">
        <v>605</v>
      </c>
      <c r="C1110" s="87" t="s">
        <v>606</v>
      </c>
      <c r="D1110" s="110">
        <v>200000</v>
      </c>
      <c r="E1110" s="110">
        <v>10000</v>
      </c>
      <c r="F1110" s="110">
        <f>SUM(D1110:E1110)</f>
        <v>210000</v>
      </c>
      <c r="G1110" s="92" t="s">
        <v>618</v>
      </c>
    </row>
    <row r="1111" spans="1:7" ht="13.15" customHeight="1" x14ac:dyDescent="0.2">
      <c r="A1111" s="103" t="s">
        <v>616</v>
      </c>
      <c r="B1111" s="104" t="s">
        <v>201</v>
      </c>
      <c r="C1111" s="104" t="s">
        <v>33</v>
      </c>
      <c r="D1111" s="105">
        <f t="shared" ref="D1111:F1112" si="124">+D1112</f>
        <v>200</v>
      </c>
      <c r="E1111" s="105">
        <f t="shared" si="124"/>
        <v>0</v>
      </c>
      <c r="F1111" s="105">
        <f t="shared" si="124"/>
        <v>200</v>
      </c>
      <c r="G1111" s="92"/>
    </row>
    <row r="1112" spans="1:7" ht="13.15" customHeight="1" x14ac:dyDescent="0.2">
      <c r="A1112" s="106" t="s">
        <v>616</v>
      </c>
      <c r="B1112" s="107" t="s">
        <v>202</v>
      </c>
      <c r="C1112" s="107" t="s">
        <v>203</v>
      </c>
      <c r="D1112" s="108">
        <f t="shared" si="124"/>
        <v>200</v>
      </c>
      <c r="E1112" s="108">
        <f t="shared" si="124"/>
        <v>0</v>
      </c>
      <c r="F1112" s="108">
        <f t="shared" si="124"/>
        <v>200</v>
      </c>
      <c r="G1112" s="92"/>
    </row>
    <row r="1113" spans="1:7" ht="13.15" customHeight="1" x14ac:dyDescent="0.2">
      <c r="A1113" s="109" t="s">
        <v>616</v>
      </c>
      <c r="B1113" s="87" t="s">
        <v>204</v>
      </c>
      <c r="C1113" s="87" t="s">
        <v>205</v>
      </c>
      <c r="D1113" s="110">
        <f>+D1114</f>
        <v>200</v>
      </c>
      <c r="E1113" s="110"/>
      <c r="F1113" s="110">
        <f>SUM(D1113:E1113)</f>
        <v>200</v>
      </c>
      <c r="G1113" s="92"/>
    </row>
    <row r="1114" spans="1:7" ht="13.15" customHeight="1" x14ac:dyDescent="0.2">
      <c r="A1114" s="109" t="s">
        <v>616</v>
      </c>
      <c r="B1114" s="87" t="s">
        <v>208</v>
      </c>
      <c r="C1114" s="87" t="s">
        <v>209</v>
      </c>
      <c r="D1114" s="110">
        <v>200</v>
      </c>
      <c r="E1114" s="110"/>
      <c r="F1114" s="110">
        <f>SUM(D1114:E1114)</f>
        <v>200</v>
      </c>
      <c r="G1114" s="92"/>
    </row>
    <row r="1115" spans="1:7" ht="13.15" customHeight="1" x14ac:dyDescent="0.2">
      <c r="A1115" s="100" t="s">
        <v>619</v>
      </c>
      <c r="B1115" s="101"/>
      <c r="C1115" s="101" t="s">
        <v>620</v>
      </c>
      <c r="D1115" s="102">
        <f>+D1116</f>
        <v>36984</v>
      </c>
      <c r="E1115" s="102">
        <f>+E1116</f>
        <v>200</v>
      </c>
      <c r="F1115" s="102">
        <f>+F1116</f>
        <v>37184</v>
      </c>
      <c r="G1115" s="92"/>
    </row>
    <row r="1116" spans="1:7" ht="13.15" customHeight="1" x14ac:dyDescent="0.2">
      <c r="A1116" s="103" t="s">
        <v>619</v>
      </c>
      <c r="B1116" s="104" t="s">
        <v>133</v>
      </c>
      <c r="C1116" s="104" t="s">
        <v>134</v>
      </c>
      <c r="D1116" s="105">
        <f>+D1117+D1121</f>
        <v>36984</v>
      </c>
      <c r="E1116" s="105">
        <f>+E1117+E1121</f>
        <v>200</v>
      </c>
      <c r="F1116" s="105">
        <f>+F1117+F1121</f>
        <v>37184</v>
      </c>
      <c r="G1116" s="92"/>
    </row>
    <row r="1117" spans="1:7" ht="13.15" customHeight="1" x14ac:dyDescent="0.2">
      <c r="A1117" s="106" t="s">
        <v>619</v>
      </c>
      <c r="B1117" s="107" t="s">
        <v>135</v>
      </c>
      <c r="C1117" s="107" t="s">
        <v>31</v>
      </c>
      <c r="D1117" s="108">
        <f>SUM(D1118:D1120)</f>
        <v>34954</v>
      </c>
      <c r="E1117" s="108">
        <f>SUM(E1118:E1120)</f>
        <v>200</v>
      </c>
      <c r="F1117" s="108">
        <f>SUM(F1118:F1120)</f>
        <v>35154</v>
      </c>
      <c r="G1117" s="92"/>
    </row>
    <row r="1118" spans="1:7" ht="13.15" customHeight="1" x14ac:dyDescent="0.2">
      <c r="A1118" s="109" t="s">
        <v>619</v>
      </c>
      <c r="B1118" s="87" t="s">
        <v>138</v>
      </c>
      <c r="C1118" s="87" t="s">
        <v>139</v>
      </c>
      <c r="D1118" s="110">
        <v>22631</v>
      </c>
      <c r="E1118" s="110"/>
      <c r="F1118" s="110">
        <f>SUM(D1118:E1118)</f>
        <v>22631</v>
      </c>
      <c r="G1118" s="92"/>
    </row>
    <row r="1119" spans="1:7" ht="13.15" customHeight="1" x14ac:dyDescent="0.2">
      <c r="A1119" s="109" t="s">
        <v>619</v>
      </c>
      <c r="B1119" s="87" t="s">
        <v>174</v>
      </c>
      <c r="C1119" s="87" t="s">
        <v>175</v>
      </c>
      <c r="D1119" s="110">
        <v>3591</v>
      </c>
      <c r="E1119" s="110"/>
      <c r="F1119" s="110">
        <f>SUM(D1119:E1119)</f>
        <v>3591</v>
      </c>
      <c r="G1119" s="92"/>
    </row>
    <row r="1120" spans="1:7" ht="13.15" customHeight="1" x14ac:dyDescent="0.2">
      <c r="A1120" s="109" t="s">
        <v>619</v>
      </c>
      <c r="B1120" s="87" t="s">
        <v>142</v>
      </c>
      <c r="C1120" s="87" t="s">
        <v>143</v>
      </c>
      <c r="D1120" s="110">
        <v>8732</v>
      </c>
      <c r="E1120" s="110">
        <v>200</v>
      </c>
      <c r="F1120" s="110">
        <f>SUM(D1120:E1120)</f>
        <v>8932</v>
      </c>
      <c r="G1120" s="92" t="s">
        <v>144</v>
      </c>
    </row>
    <row r="1121" spans="1:7" ht="13.15" customHeight="1" x14ac:dyDescent="0.2">
      <c r="A1121" s="106" t="s">
        <v>619</v>
      </c>
      <c r="B1121" s="107" t="s">
        <v>145</v>
      </c>
      <c r="C1121" s="107" t="s">
        <v>32</v>
      </c>
      <c r="D1121" s="108">
        <f>SUM(D1122:D1127)</f>
        <v>2030</v>
      </c>
      <c r="E1121" s="108">
        <f>SUM(E1122:E1127)</f>
        <v>0</v>
      </c>
      <c r="F1121" s="108">
        <f>SUM(F1122:F1127)</f>
        <v>2030</v>
      </c>
      <c r="G1121" s="92"/>
    </row>
    <row r="1122" spans="1:7" ht="13.15" customHeight="1" x14ac:dyDescent="0.2">
      <c r="A1122" s="109" t="s">
        <v>619</v>
      </c>
      <c r="B1122" s="87" t="s">
        <v>146</v>
      </c>
      <c r="C1122" s="87" t="s">
        <v>147</v>
      </c>
      <c r="D1122" s="110">
        <v>700</v>
      </c>
      <c r="E1122" s="110"/>
      <c r="F1122" s="110">
        <f t="shared" ref="F1122:F1127" si="125">SUM(D1122:E1122)</f>
        <v>700</v>
      </c>
      <c r="G1122" s="92"/>
    </row>
    <row r="1123" spans="1:7" ht="13.15" customHeight="1" x14ac:dyDescent="0.2">
      <c r="A1123" s="109" t="s">
        <v>619</v>
      </c>
      <c r="B1123" s="87" t="s">
        <v>150</v>
      </c>
      <c r="C1123" s="87" t="s">
        <v>151</v>
      </c>
      <c r="D1123" s="110">
        <v>100</v>
      </c>
      <c r="E1123" s="110"/>
      <c r="F1123" s="110">
        <f t="shared" si="125"/>
        <v>100</v>
      </c>
      <c r="G1123" s="92"/>
    </row>
    <row r="1124" spans="1:7" ht="13.15" customHeight="1" x14ac:dyDescent="0.2">
      <c r="A1124" s="109" t="s">
        <v>619</v>
      </c>
      <c r="B1124" s="87" t="s">
        <v>154</v>
      </c>
      <c r="C1124" s="87" t="s">
        <v>155</v>
      </c>
      <c r="D1124" s="110">
        <v>50</v>
      </c>
      <c r="E1124" s="110"/>
      <c r="F1124" s="110">
        <f t="shared" si="125"/>
        <v>50</v>
      </c>
      <c r="G1124" s="92"/>
    </row>
    <row r="1125" spans="1:7" ht="13.15" customHeight="1" x14ac:dyDescent="0.2">
      <c r="A1125" s="109" t="s">
        <v>619</v>
      </c>
      <c r="B1125" s="87" t="s">
        <v>156</v>
      </c>
      <c r="C1125" s="87" t="s">
        <v>157</v>
      </c>
      <c r="D1125" s="110">
        <v>350</v>
      </c>
      <c r="E1125" s="110"/>
      <c r="F1125" s="110">
        <f t="shared" si="125"/>
        <v>350</v>
      </c>
      <c r="G1125" s="92"/>
    </row>
    <row r="1126" spans="1:7" ht="13.15" customHeight="1" x14ac:dyDescent="0.2">
      <c r="A1126" s="109" t="s">
        <v>619</v>
      </c>
      <c r="B1126" s="87" t="s">
        <v>158</v>
      </c>
      <c r="C1126" s="87" t="s">
        <v>159</v>
      </c>
      <c r="D1126" s="110">
        <v>30</v>
      </c>
      <c r="E1126" s="110"/>
      <c r="F1126" s="110">
        <f t="shared" si="125"/>
        <v>30</v>
      </c>
      <c r="G1126" s="92"/>
    </row>
    <row r="1127" spans="1:7" ht="13.15" customHeight="1" x14ac:dyDescent="0.2">
      <c r="A1127" s="109" t="s">
        <v>619</v>
      </c>
      <c r="B1127" s="87" t="s">
        <v>381</v>
      </c>
      <c r="C1127" s="87" t="s">
        <v>382</v>
      </c>
      <c r="D1127" s="110">
        <v>800</v>
      </c>
      <c r="E1127" s="110"/>
      <c r="F1127" s="110">
        <f t="shared" si="125"/>
        <v>800</v>
      </c>
      <c r="G1127" s="92"/>
    </row>
    <row r="1128" spans="1:7" ht="13.15" customHeight="1" x14ac:dyDescent="0.2">
      <c r="A1128" s="100" t="s">
        <v>621</v>
      </c>
      <c r="B1128" s="101"/>
      <c r="C1128" s="101" t="s">
        <v>622</v>
      </c>
      <c r="D1128" s="102">
        <f>+D1129</f>
        <v>103372</v>
      </c>
      <c r="E1128" s="102">
        <f>+E1129</f>
        <v>7306</v>
      </c>
      <c r="F1128" s="102">
        <f>+F1129</f>
        <v>110678</v>
      </c>
      <c r="G1128" s="92"/>
    </row>
    <row r="1129" spans="1:7" ht="13.15" customHeight="1" x14ac:dyDescent="0.2">
      <c r="A1129" s="103" t="s">
        <v>621</v>
      </c>
      <c r="B1129" s="104" t="s">
        <v>133</v>
      </c>
      <c r="C1129" s="104" t="s">
        <v>134</v>
      </c>
      <c r="D1129" s="105">
        <f>+D1130+D1134</f>
        <v>103372</v>
      </c>
      <c r="E1129" s="105">
        <f>+E1130+E1134</f>
        <v>7306</v>
      </c>
      <c r="F1129" s="105">
        <f>+F1130+F1134</f>
        <v>110678</v>
      </c>
      <c r="G1129" s="92"/>
    </row>
    <row r="1130" spans="1:7" ht="13.15" customHeight="1" x14ac:dyDescent="0.2">
      <c r="A1130" s="106" t="s">
        <v>621</v>
      </c>
      <c r="B1130" s="107" t="s">
        <v>135</v>
      </c>
      <c r="C1130" s="107" t="s">
        <v>31</v>
      </c>
      <c r="D1130" s="108">
        <f>SUM(D1131:D1133)</f>
        <v>83602</v>
      </c>
      <c r="E1130" s="108">
        <f>SUM(E1131:E1133)</f>
        <v>7306</v>
      </c>
      <c r="F1130" s="108">
        <f>SUM(F1131:F1133)</f>
        <v>90908</v>
      </c>
      <c r="G1130" s="92"/>
    </row>
    <row r="1131" spans="1:7" ht="13.15" customHeight="1" x14ac:dyDescent="0.2">
      <c r="A1131" s="109" t="s">
        <v>621</v>
      </c>
      <c r="B1131" s="87" t="s">
        <v>138</v>
      </c>
      <c r="C1131" s="87" t="s">
        <v>139</v>
      </c>
      <c r="D1131" s="110">
        <v>62717</v>
      </c>
      <c r="E1131" s="110">
        <v>5226</v>
      </c>
      <c r="F1131" s="110">
        <f>SUM(D1131:E1131)</f>
        <v>67943</v>
      </c>
      <c r="G1131" s="92" t="s">
        <v>623</v>
      </c>
    </row>
    <row r="1132" spans="1:7" ht="13.15" customHeight="1" x14ac:dyDescent="0.2">
      <c r="A1132" s="109" t="s">
        <v>621</v>
      </c>
      <c r="B1132" s="87" t="s">
        <v>174</v>
      </c>
      <c r="C1132" s="87" t="s">
        <v>175</v>
      </c>
      <c r="D1132" s="110">
        <v>0</v>
      </c>
      <c r="E1132" s="110"/>
      <c r="F1132" s="110">
        <f>SUM(D1132:E1132)</f>
        <v>0</v>
      </c>
      <c r="G1132" s="92"/>
    </row>
    <row r="1133" spans="1:7" ht="13.15" customHeight="1" x14ac:dyDescent="0.2">
      <c r="A1133" s="109" t="s">
        <v>621</v>
      </c>
      <c r="B1133" s="87" t="s">
        <v>142</v>
      </c>
      <c r="C1133" s="87" t="s">
        <v>143</v>
      </c>
      <c r="D1133" s="110">
        <v>20885</v>
      </c>
      <c r="E1133" s="110">
        <v>2080</v>
      </c>
      <c r="F1133" s="110">
        <f>SUM(D1133:E1133)</f>
        <v>22965</v>
      </c>
      <c r="G1133" s="118" t="s">
        <v>624</v>
      </c>
    </row>
    <row r="1134" spans="1:7" ht="13.15" customHeight="1" x14ac:dyDescent="0.2">
      <c r="A1134" s="106" t="s">
        <v>621</v>
      </c>
      <c r="B1134" s="107" t="s">
        <v>145</v>
      </c>
      <c r="C1134" s="107" t="s">
        <v>32</v>
      </c>
      <c r="D1134" s="108">
        <f>SUM(D1135:D1143)</f>
        <v>19770</v>
      </c>
      <c r="E1134" s="108">
        <f>SUM(E1135:E1143)</f>
        <v>0</v>
      </c>
      <c r="F1134" s="108">
        <f>SUM(F1135:F1143)</f>
        <v>19770</v>
      </c>
      <c r="G1134" s="92"/>
    </row>
    <row r="1135" spans="1:7" ht="13.15" customHeight="1" x14ac:dyDescent="0.2">
      <c r="A1135" s="109" t="s">
        <v>621</v>
      </c>
      <c r="B1135" s="87" t="s">
        <v>146</v>
      </c>
      <c r="C1135" s="87" t="s">
        <v>147</v>
      </c>
      <c r="D1135" s="110">
        <v>900</v>
      </c>
      <c r="E1135" s="110"/>
      <c r="F1135" s="110">
        <f t="shared" ref="F1135:F1143" si="126">SUM(D1135:E1135)</f>
        <v>900</v>
      </c>
      <c r="G1135" s="92"/>
    </row>
    <row r="1136" spans="1:7" ht="13.15" customHeight="1" x14ac:dyDescent="0.2">
      <c r="A1136" s="109" t="s">
        <v>621</v>
      </c>
      <c r="B1136" s="87" t="s">
        <v>148</v>
      </c>
      <c r="C1136" s="87" t="s">
        <v>149</v>
      </c>
      <c r="D1136" s="110">
        <v>2200</v>
      </c>
      <c r="E1136" s="110"/>
      <c r="F1136" s="110">
        <f t="shared" si="126"/>
        <v>2200</v>
      </c>
      <c r="G1136" s="92"/>
    </row>
    <row r="1137" spans="1:7" ht="13.15" customHeight="1" x14ac:dyDescent="0.2">
      <c r="A1137" s="109" t="s">
        <v>621</v>
      </c>
      <c r="B1137" s="87" t="s">
        <v>150</v>
      </c>
      <c r="C1137" s="87" t="s">
        <v>151</v>
      </c>
      <c r="D1137" s="110">
        <v>0</v>
      </c>
      <c r="E1137" s="110"/>
      <c r="F1137" s="110">
        <f t="shared" si="126"/>
        <v>0</v>
      </c>
      <c r="G1137" s="92"/>
    </row>
    <row r="1138" spans="1:7" ht="13.15" customHeight="1" x14ac:dyDescent="0.2">
      <c r="A1138" s="109" t="s">
        <v>621</v>
      </c>
      <c r="B1138" s="87" t="s">
        <v>152</v>
      </c>
      <c r="C1138" s="87" t="s">
        <v>153</v>
      </c>
      <c r="D1138" s="110">
        <v>10000</v>
      </c>
      <c r="E1138" s="110"/>
      <c r="F1138" s="110">
        <f t="shared" si="126"/>
        <v>10000</v>
      </c>
      <c r="G1138" s="92"/>
    </row>
    <row r="1139" spans="1:7" ht="13.15" customHeight="1" x14ac:dyDescent="0.2">
      <c r="A1139" s="109" t="s">
        <v>621</v>
      </c>
      <c r="B1139" s="87" t="s">
        <v>156</v>
      </c>
      <c r="C1139" s="87" t="s">
        <v>157</v>
      </c>
      <c r="D1139" s="110">
        <v>370</v>
      </c>
      <c r="E1139" s="110"/>
      <c r="F1139" s="110">
        <f t="shared" si="126"/>
        <v>370</v>
      </c>
      <c r="G1139" s="92"/>
    </row>
    <row r="1140" spans="1:7" ht="13.15" customHeight="1" x14ac:dyDescent="0.2">
      <c r="A1140" s="109" t="s">
        <v>621</v>
      </c>
      <c r="B1140" s="87" t="s">
        <v>158</v>
      </c>
      <c r="C1140" s="87" t="s">
        <v>159</v>
      </c>
      <c r="D1140" s="110">
        <v>100</v>
      </c>
      <c r="E1140" s="110"/>
      <c r="F1140" s="110">
        <f t="shared" si="126"/>
        <v>100</v>
      </c>
      <c r="G1140" s="92"/>
    </row>
    <row r="1141" spans="1:7" ht="13.15" customHeight="1" x14ac:dyDescent="0.2">
      <c r="A1141" s="109" t="s">
        <v>621</v>
      </c>
      <c r="B1141" s="87" t="s">
        <v>195</v>
      </c>
      <c r="C1141" s="87" t="s">
        <v>196</v>
      </c>
      <c r="D1141" s="110">
        <v>200</v>
      </c>
      <c r="E1141" s="110"/>
      <c r="F1141" s="110">
        <f t="shared" si="126"/>
        <v>200</v>
      </c>
      <c r="G1141" s="92"/>
    </row>
    <row r="1142" spans="1:7" ht="13.15" customHeight="1" x14ac:dyDescent="0.2">
      <c r="A1142" s="109" t="s">
        <v>621</v>
      </c>
      <c r="B1142" s="87" t="s">
        <v>605</v>
      </c>
      <c r="C1142" s="87" t="s">
        <v>606</v>
      </c>
      <c r="D1142" s="110">
        <v>4500</v>
      </c>
      <c r="E1142" s="110"/>
      <c r="F1142" s="110">
        <f t="shared" si="126"/>
        <v>4500</v>
      </c>
      <c r="G1142" s="92"/>
    </row>
    <row r="1143" spans="1:7" ht="13.15" customHeight="1" x14ac:dyDescent="0.2">
      <c r="A1143" s="109" t="s">
        <v>621</v>
      </c>
      <c r="B1143" s="87" t="s">
        <v>199</v>
      </c>
      <c r="C1143" s="87" t="s">
        <v>200</v>
      </c>
      <c r="D1143" s="110">
        <v>1500</v>
      </c>
      <c r="E1143" s="110"/>
      <c r="F1143" s="110">
        <f t="shared" si="126"/>
        <v>1500</v>
      </c>
      <c r="G1143" s="92"/>
    </row>
    <row r="1144" spans="1:7" ht="13.15" customHeight="1" x14ac:dyDescent="0.2">
      <c r="A1144" s="100" t="s">
        <v>625</v>
      </c>
      <c r="B1144" s="101"/>
      <c r="C1144" s="101" t="s">
        <v>626</v>
      </c>
      <c r="D1144" s="102">
        <f t="shared" ref="D1144:F1146" si="127">+D1145</f>
        <v>12500</v>
      </c>
      <c r="E1144" s="102">
        <f t="shared" si="127"/>
        <v>0</v>
      </c>
      <c r="F1144" s="102">
        <f t="shared" si="127"/>
        <v>12500</v>
      </c>
      <c r="G1144" s="92"/>
    </row>
    <row r="1145" spans="1:7" ht="13.15" customHeight="1" x14ac:dyDescent="0.2">
      <c r="A1145" s="103" t="s">
        <v>625</v>
      </c>
      <c r="B1145" s="104" t="s">
        <v>166</v>
      </c>
      <c r="C1145" s="104" t="s">
        <v>167</v>
      </c>
      <c r="D1145" s="105">
        <f t="shared" si="127"/>
        <v>12500</v>
      </c>
      <c r="E1145" s="105">
        <f t="shared" si="127"/>
        <v>0</v>
      </c>
      <c r="F1145" s="105">
        <f t="shared" si="127"/>
        <v>12500</v>
      </c>
      <c r="G1145" s="92"/>
    </row>
    <row r="1146" spans="1:7" ht="13.15" customHeight="1" x14ac:dyDescent="0.2">
      <c r="A1146" s="106" t="s">
        <v>625</v>
      </c>
      <c r="B1146" s="107" t="s">
        <v>219</v>
      </c>
      <c r="C1146" s="107" t="s">
        <v>220</v>
      </c>
      <c r="D1146" s="108">
        <f t="shared" si="127"/>
        <v>12500</v>
      </c>
      <c r="E1146" s="108">
        <f t="shared" si="127"/>
        <v>0</v>
      </c>
      <c r="F1146" s="108">
        <f t="shared" si="127"/>
        <v>12500</v>
      </c>
      <c r="G1146" s="92"/>
    </row>
    <row r="1147" spans="1:7" ht="13.15" customHeight="1" x14ac:dyDescent="0.2">
      <c r="A1147" s="109" t="s">
        <v>625</v>
      </c>
      <c r="B1147" s="87" t="s">
        <v>221</v>
      </c>
      <c r="C1147" s="87" t="s">
        <v>222</v>
      </c>
      <c r="D1147" s="110">
        <v>12500</v>
      </c>
      <c r="E1147" s="110"/>
      <c r="F1147" s="110">
        <f>SUM(D1147:E1147)</f>
        <v>12500</v>
      </c>
      <c r="G1147" s="92"/>
    </row>
    <row r="1148" spans="1:7" ht="13.15" customHeight="1" x14ac:dyDescent="0.2">
      <c r="A1148" s="100" t="s">
        <v>102</v>
      </c>
      <c r="B1148" s="101"/>
      <c r="C1148" s="101" t="s">
        <v>627</v>
      </c>
      <c r="D1148" s="102">
        <f>+D1149</f>
        <v>60146</v>
      </c>
      <c r="E1148" s="102">
        <f>+E1149</f>
        <v>300</v>
      </c>
      <c r="F1148" s="102">
        <f>+F1149</f>
        <v>60446</v>
      </c>
      <c r="G1148" s="92"/>
    </row>
    <row r="1149" spans="1:7" ht="13.15" customHeight="1" x14ac:dyDescent="0.2">
      <c r="A1149" s="103" t="s">
        <v>102</v>
      </c>
      <c r="B1149" s="104" t="s">
        <v>133</v>
      </c>
      <c r="C1149" s="104" t="s">
        <v>134</v>
      </c>
      <c r="D1149" s="105">
        <f>+D1150+D1153</f>
        <v>60146</v>
      </c>
      <c r="E1149" s="105">
        <f>+E1150+E1153</f>
        <v>300</v>
      </c>
      <c r="F1149" s="105">
        <f>+F1150+F1153</f>
        <v>60446</v>
      </c>
      <c r="G1149" s="92"/>
    </row>
    <row r="1150" spans="1:7" ht="13.15" customHeight="1" x14ac:dyDescent="0.2">
      <c r="A1150" s="106" t="s">
        <v>102</v>
      </c>
      <c r="B1150" s="107" t="s">
        <v>135</v>
      </c>
      <c r="C1150" s="107" t="s">
        <v>31</v>
      </c>
      <c r="D1150" s="108">
        <f>SUM(D1151:D1152)</f>
        <v>58416</v>
      </c>
      <c r="E1150" s="108">
        <f>SUM(E1151:E1152)</f>
        <v>300</v>
      </c>
      <c r="F1150" s="108">
        <f>SUM(F1151:F1152)</f>
        <v>58716</v>
      </c>
      <c r="G1150" s="92"/>
    </row>
    <row r="1151" spans="1:7" ht="13.15" customHeight="1" x14ac:dyDescent="0.2">
      <c r="A1151" s="109" t="s">
        <v>102</v>
      </c>
      <c r="B1151" s="87" t="s">
        <v>138</v>
      </c>
      <c r="C1151" s="87" t="s">
        <v>139</v>
      </c>
      <c r="D1151" s="110">
        <v>43823</v>
      </c>
      <c r="E1151" s="110"/>
      <c r="F1151" s="110">
        <f>SUM(D1151:E1151)</f>
        <v>43823</v>
      </c>
      <c r="G1151" s="92"/>
    </row>
    <row r="1152" spans="1:7" ht="13.15" customHeight="1" x14ac:dyDescent="0.2">
      <c r="A1152" s="109" t="s">
        <v>102</v>
      </c>
      <c r="B1152" s="87" t="s">
        <v>142</v>
      </c>
      <c r="C1152" s="87" t="s">
        <v>143</v>
      </c>
      <c r="D1152" s="110">
        <v>14593</v>
      </c>
      <c r="E1152" s="110">
        <v>300</v>
      </c>
      <c r="F1152" s="110">
        <f>SUM(D1152:E1152)</f>
        <v>14893</v>
      </c>
      <c r="G1152" s="92" t="s">
        <v>144</v>
      </c>
    </row>
    <row r="1153" spans="1:7" ht="13.15" customHeight="1" x14ac:dyDescent="0.2">
      <c r="A1153" s="106" t="s">
        <v>102</v>
      </c>
      <c r="B1153" s="107" t="s">
        <v>145</v>
      </c>
      <c r="C1153" s="107" t="s">
        <v>32</v>
      </c>
      <c r="D1153" s="108">
        <f>SUM(D1154:D1161)</f>
        <v>1730</v>
      </c>
      <c r="E1153" s="108">
        <f>SUM(E1154:E1161)</f>
        <v>0</v>
      </c>
      <c r="F1153" s="108">
        <f>SUM(F1154:F1161)</f>
        <v>1730</v>
      </c>
      <c r="G1153" s="92"/>
    </row>
    <row r="1154" spans="1:7" ht="13.15" customHeight="1" x14ac:dyDescent="0.2">
      <c r="A1154" s="109" t="s">
        <v>102</v>
      </c>
      <c r="B1154" s="87" t="s">
        <v>146</v>
      </c>
      <c r="C1154" s="87" t="s">
        <v>147</v>
      </c>
      <c r="D1154" s="110">
        <v>400</v>
      </c>
      <c r="E1154" s="110"/>
      <c r="F1154" s="110">
        <f t="shared" ref="F1154:F1161" si="128">SUM(D1154:E1154)</f>
        <v>400</v>
      </c>
      <c r="G1154" s="92"/>
    </row>
    <row r="1155" spans="1:7" ht="13.15" customHeight="1" x14ac:dyDescent="0.2">
      <c r="A1155" s="109" t="s">
        <v>102</v>
      </c>
      <c r="B1155" s="87" t="s">
        <v>150</v>
      </c>
      <c r="C1155" s="87" t="s">
        <v>151</v>
      </c>
      <c r="D1155" s="110">
        <v>100</v>
      </c>
      <c r="E1155" s="110"/>
      <c r="F1155" s="110">
        <f t="shared" si="128"/>
        <v>100</v>
      </c>
      <c r="G1155" s="92"/>
    </row>
    <row r="1156" spans="1:7" ht="13.15" customHeight="1" x14ac:dyDescent="0.2">
      <c r="A1156" s="109" t="s">
        <v>102</v>
      </c>
      <c r="B1156" s="87" t="s">
        <v>154</v>
      </c>
      <c r="C1156" s="87" t="s">
        <v>155</v>
      </c>
      <c r="D1156" s="110">
        <v>100</v>
      </c>
      <c r="E1156" s="110"/>
      <c r="F1156" s="110">
        <f t="shared" si="128"/>
        <v>100</v>
      </c>
      <c r="G1156" s="92"/>
    </row>
    <row r="1157" spans="1:7" ht="13.15" customHeight="1" x14ac:dyDescent="0.2">
      <c r="A1157" s="109" t="s">
        <v>102</v>
      </c>
      <c r="B1157" s="87" t="s">
        <v>156</v>
      </c>
      <c r="C1157" s="87" t="s">
        <v>157</v>
      </c>
      <c r="D1157" s="110">
        <v>130</v>
      </c>
      <c r="E1157" s="110"/>
      <c r="F1157" s="110">
        <f t="shared" si="128"/>
        <v>130</v>
      </c>
      <c r="G1157" s="92"/>
    </row>
    <row r="1158" spans="1:7" ht="13.15" customHeight="1" x14ac:dyDescent="0.2">
      <c r="A1158" s="109" t="s">
        <v>102</v>
      </c>
      <c r="B1158" s="87" t="s">
        <v>368</v>
      </c>
      <c r="C1158" s="87" t="s">
        <v>369</v>
      </c>
      <c r="D1158" s="110">
        <v>900</v>
      </c>
      <c r="E1158" s="110"/>
      <c r="F1158" s="110">
        <f t="shared" si="128"/>
        <v>900</v>
      </c>
      <c r="G1158" s="92"/>
    </row>
    <row r="1159" spans="1:7" ht="13.15" customHeight="1" x14ac:dyDescent="0.2">
      <c r="A1159" s="109" t="s">
        <v>102</v>
      </c>
      <c r="B1159" s="87" t="s">
        <v>381</v>
      </c>
      <c r="C1159" s="87" t="s">
        <v>382</v>
      </c>
      <c r="D1159" s="110">
        <v>100</v>
      </c>
      <c r="E1159" s="110"/>
      <c r="F1159" s="110">
        <f t="shared" si="128"/>
        <v>100</v>
      </c>
      <c r="G1159" s="92"/>
    </row>
    <row r="1160" spans="1:7" ht="13.15" customHeight="1" x14ac:dyDescent="0.2">
      <c r="A1160" s="109" t="s">
        <v>102</v>
      </c>
      <c r="B1160" s="87" t="s">
        <v>195</v>
      </c>
      <c r="C1160" s="87" t="s">
        <v>196</v>
      </c>
      <c r="D1160" s="110">
        <v>0</v>
      </c>
      <c r="E1160" s="110"/>
      <c r="F1160" s="110">
        <f t="shared" si="128"/>
        <v>0</v>
      </c>
      <c r="G1160" s="92"/>
    </row>
    <row r="1161" spans="1:7" ht="13.15" customHeight="1" x14ac:dyDescent="0.2">
      <c r="A1161" s="109" t="s">
        <v>102</v>
      </c>
      <c r="B1161" s="87" t="s">
        <v>197</v>
      </c>
      <c r="C1161" s="87" t="s">
        <v>198</v>
      </c>
      <c r="D1161" s="110">
        <v>0</v>
      </c>
      <c r="E1161" s="110"/>
      <c r="F1161" s="110">
        <f t="shared" si="128"/>
        <v>0</v>
      </c>
      <c r="G1161" s="92"/>
    </row>
    <row r="1162" spans="1:7" ht="13.15" customHeight="1" x14ac:dyDescent="0.2">
      <c r="A1162" s="100" t="s">
        <v>628</v>
      </c>
      <c r="B1162" s="101"/>
      <c r="C1162" s="101" t="s">
        <v>629</v>
      </c>
      <c r="D1162" s="102">
        <f>+D1163+D1166+D1169</f>
        <v>2802</v>
      </c>
      <c r="E1162" s="102">
        <f>+E1163+E1166+E1169</f>
        <v>47058</v>
      </c>
      <c r="F1162" s="102">
        <f>+F1163+F1166+F1169</f>
        <v>49860</v>
      </c>
      <c r="G1162" s="92"/>
    </row>
    <row r="1163" spans="1:7" ht="13.15" customHeight="1" x14ac:dyDescent="0.2">
      <c r="A1163" s="103" t="s">
        <v>628</v>
      </c>
      <c r="B1163" s="104" t="s">
        <v>127</v>
      </c>
      <c r="C1163" s="104" t="s">
        <v>128</v>
      </c>
      <c r="D1163" s="105">
        <f t="shared" ref="D1163:F1164" si="129">+D1164</f>
        <v>0</v>
      </c>
      <c r="E1163" s="105">
        <f t="shared" si="129"/>
        <v>0</v>
      </c>
      <c r="F1163" s="105">
        <f t="shared" si="129"/>
        <v>0</v>
      </c>
      <c r="G1163" s="92"/>
    </row>
    <row r="1164" spans="1:7" ht="13.15" customHeight="1" x14ac:dyDescent="0.2">
      <c r="A1164" s="106" t="s">
        <v>628</v>
      </c>
      <c r="B1164" s="107" t="s">
        <v>129</v>
      </c>
      <c r="C1164" s="107" t="s">
        <v>130</v>
      </c>
      <c r="D1164" s="108">
        <f t="shared" si="129"/>
        <v>0</v>
      </c>
      <c r="E1164" s="108">
        <f t="shared" si="129"/>
        <v>0</v>
      </c>
      <c r="F1164" s="108">
        <f t="shared" si="129"/>
        <v>0</v>
      </c>
      <c r="G1164" s="92"/>
    </row>
    <row r="1165" spans="1:7" ht="13.15" customHeight="1" x14ac:dyDescent="0.2">
      <c r="A1165" s="109" t="s">
        <v>628</v>
      </c>
      <c r="B1165" s="87" t="s">
        <v>247</v>
      </c>
      <c r="C1165" s="87" t="s">
        <v>248</v>
      </c>
      <c r="D1165" s="110">
        <v>0</v>
      </c>
      <c r="E1165" s="110"/>
      <c r="F1165" s="110">
        <f>SUM(D1165:E1165)</f>
        <v>0</v>
      </c>
      <c r="G1165" s="92"/>
    </row>
    <row r="1166" spans="1:7" ht="13.15" customHeight="1" x14ac:dyDescent="0.2">
      <c r="A1166" s="103" t="s">
        <v>628</v>
      </c>
      <c r="B1166" s="104" t="s">
        <v>166</v>
      </c>
      <c r="C1166" s="104" t="s">
        <v>167</v>
      </c>
      <c r="D1166" s="105">
        <f t="shared" ref="D1166:F1167" si="130">+D1167</f>
        <v>2060</v>
      </c>
      <c r="E1166" s="105">
        <f t="shared" si="130"/>
        <v>46180</v>
      </c>
      <c r="F1166" s="105">
        <f t="shared" si="130"/>
        <v>48240</v>
      </c>
      <c r="G1166" s="92"/>
    </row>
    <row r="1167" spans="1:7" ht="13.15" customHeight="1" x14ac:dyDescent="0.2">
      <c r="A1167" s="106" t="s">
        <v>628</v>
      </c>
      <c r="B1167" s="107" t="s">
        <v>168</v>
      </c>
      <c r="C1167" s="107" t="s">
        <v>169</v>
      </c>
      <c r="D1167" s="108">
        <f t="shared" si="130"/>
        <v>2060</v>
      </c>
      <c r="E1167" s="108">
        <f t="shared" si="130"/>
        <v>46180</v>
      </c>
      <c r="F1167" s="108">
        <f t="shared" si="130"/>
        <v>48240</v>
      </c>
      <c r="G1167" s="92"/>
    </row>
    <row r="1168" spans="1:7" ht="13.15" customHeight="1" x14ac:dyDescent="0.2">
      <c r="A1168" s="109" t="s">
        <v>628</v>
      </c>
      <c r="B1168" s="87" t="s">
        <v>630</v>
      </c>
      <c r="C1168" s="87" t="s">
        <v>631</v>
      </c>
      <c r="D1168" s="110">
        <v>2060</v>
      </c>
      <c r="E1168" s="110">
        <f>720+45460</f>
        <v>46180</v>
      </c>
      <c r="F1168" s="110">
        <f>SUM(D1168:E1168)</f>
        <v>48240</v>
      </c>
      <c r="G1168" s="118" t="s">
        <v>632</v>
      </c>
    </row>
    <row r="1169" spans="1:7" ht="13.15" customHeight="1" x14ac:dyDescent="0.2">
      <c r="A1169" s="103" t="s">
        <v>628</v>
      </c>
      <c r="B1169" s="104" t="s">
        <v>133</v>
      </c>
      <c r="C1169" s="104" t="s">
        <v>134</v>
      </c>
      <c r="D1169" s="105">
        <f t="shared" ref="D1169:F1170" si="131">+D1170</f>
        <v>742</v>
      </c>
      <c r="E1169" s="105">
        <f t="shared" si="131"/>
        <v>878</v>
      </c>
      <c r="F1169" s="105">
        <f t="shared" si="131"/>
        <v>1620</v>
      </c>
      <c r="G1169" s="92"/>
    </row>
    <row r="1170" spans="1:7" ht="13.15" customHeight="1" x14ac:dyDescent="0.2">
      <c r="A1170" s="106" t="s">
        <v>628</v>
      </c>
      <c r="B1170" s="107" t="s">
        <v>145</v>
      </c>
      <c r="C1170" s="107" t="s">
        <v>32</v>
      </c>
      <c r="D1170" s="108">
        <f t="shared" si="131"/>
        <v>742</v>
      </c>
      <c r="E1170" s="108">
        <f t="shared" si="131"/>
        <v>878</v>
      </c>
      <c r="F1170" s="108">
        <f t="shared" si="131"/>
        <v>1620</v>
      </c>
      <c r="G1170" s="92"/>
    </row>
    <row r="1171" spans="1:7" ht="13.15" customHeight="1" x14ac:dyDescent="0.2">
      <c r="A1171" s="109" t="s">
        <v>628</v>
      </c>
      <c r="B1171" s="87" t="s">
        <v>146</v>
      </c>
      <c r="C1171" s="87" t="s">
        <v>147</v>
      </c>
      <c r="D1171" s="110">
        <v>742</v>
      </c>
      <c r="E1171" s="110">
        <f>742+136</f>
        <v>878</v>
      </c>
      <c r="F1171" s="110">
        <f>SUM(D1171:E1171)</f>
        <v>1620</v>
      </c>
      <c r="G1171" s="118" t="s">
        <v>633</v>
      </c>
    </row>
    <row r="1172" spans="1:7" ht="13.15" customHeight="1" x14ac:dyDescent="0.2">
      <c r="A1172" s="100" t="s">
        <v>634</v>
      </c>
      <c r="B1172" s="101"/>
      <c r="C1172" s="101" t="s">
        <v>635</v>
      </c>
      <c r="D1172" s="102">
        <f t="shared" ref="D1172:F1174" si="132">+D1173</f>
        <v>5200</v>
      </c>
      <c r="E1172" s="102">
        <f t="shared" si="132"/>
        <v>0</v>
      </c>
      <c r="F1172" s="102">
        <f t="shared" si="132"/>
        <v>5200</v>
      </c>
      <c r="G1172" s="92"/>
    </row>
    <row r="1173" spans="1:7" ht="13.15" customHeight="1" x14ac:dyDescent="0.2">
      <c r="A1173" s="103" t="s">
        <v>634</v>
      </c>
      <c r="B1173" s="104" t="s">
        <v>133</v>
      </c>
      <c r="C1173" s="104" t="s">
        <v>134</v>
      </c>
      <c r="D1173" s="105">
        <f t="shared" si="132"/>
        <v>5200</v>
      </c>
      <c r="E1173" s="105">
        <f t="shared" si="132"/>
        <v>0</v>
      </c>
      <c r="F1173" s="105">
        <f t="shared" si="132"/>
        <v>5200</v>
      </c>
      <c r="G1173" s="92"/>
    </row>
    <row r="1174" spans="1:7" ht="13.15" customHeight="1" x14ac:dyDescent="0.2">
      <c r="A1174" s="106" t="s">
        <v>634</v>
      </c>
      <c r="B1174" s="107" t="s">
        <v>145</v>
      </c>
      <c r="C1174" s="107" t="s">
        <v>32</v>
      </c>
      <c r="D1174" s="108">
        <f t="shared" si="132"/>
        <v>5200</v>
      </c>
      <c r="E1174" s="108">
        <f t="shared" si="132"/>
        <v>0</v>
      </c>
      <c r="F1174" s="108">
        <f t="shared" si="132"/>
        <v>5200</v>
      </c>
      <c r="G1174" s="92"/>
    </row>
    <row r="1175" spans="1:7" ht="13.15" customHeight="1" x14ac:dyDescent="0.2">
      <c r="A1175" s="109" t="s">
        <v>634</v>
      </c>
      <c r="B1175" s="87" t="s">
        <v>605</v>
      </c>
      <c r="C1175" s="87" t="s">
        <v>606</v>
      </c>
      <c r="D1175" s="110">
        <v>5200</v>
      </c>
      <c r="E1175" s="110"/>
      <c r="F1175" s="110">
        <f>SUM(D1175:E1175)</f>
        <v>5200</v>
      </c>
      <c r="G1175" s="92"/>
    </row>
    <row r="1176" spans="1:7" ht="13.15" customHeight="1" x14ac:dyDescent="0.2">
      <c r="A1176" s="100" t="s">
        <v>636</v>
      </c>
      <c r="B1176" s="101"/>
      <c r="C1176" s="101" t="s">
        <v>637</v>
      </c>
      <c r="D1176" s="102">
        <f t="shared" ref="D1176:F1178" si="133">+D1177</f>
        <v>6000</v>
      </c>
      <c r="E1176" s="102">
        <f t="shared" si="133"/>
        <v>0</v>
      </c>
      <c r="F1176" s="102">
        <f t="shared" si="133"/>
        <v>6000</v>
      </c>
      <c r="G1176" s="92"/>
    </row>
    <row r="1177" spans="1:7" ht="13.15" customHeight="1" x14ac:dyDescent="0.2">
      <c r="A1177" s="103" t="s">
        <v>636</v>
      </c>
      <c r="B1177" s="104" t="s">
        <v>166</v>
      </c>
      <c r="C1177" s="104" t="s">
        <v>167</v>
      </c>
      <c r="D1177" s="105">
        <f t="shared" si="133"/>
        <v>6000</v>
      </c>
      <c r="E1177" s="105">
        <f t="shared" si="133"/>
        <v>0</v>
      </c>
      <c r="F1177" s="105">
        <f t="shared" si="133"/>
        <v>6000</v>
      </c>
      <c r="G1177" s="92"/>
    </row>
    <row r="1178" spans="1:7" ht="13.15" customHeight="1" x14ac:dyDescent="0.2">
      <c r="A1178" s="106" t="s">
        <v>636</v>
      </c>
      <c r="B1178" s="107" t="s">
        <v>168</v>
      </c>
      <c r="C1178" s="107" t="s">
        <v>169</v>
      </c>
      <c r="D1178" s="108">
        <f t="shared" si="133"/>
        <v>6000</v>
      </c>
      <c r="E1178" s="108">
        <f t="shared" si="133"/>
        <v>0</v>
      </c>
      <c r="F1178" s="108">
        <f t="shared" si="133"/>
        <v>6000</v>
      </c>
      <c r="G1178" s="92"/>
    </row>
    <row r="1179" spans="1:7" ht="13.15" customHeight="1" x14ac:dyDescent="0.2">
      <c r="A1179" s="109" t="s">
        <v>636</v>
      </c>
      <c r="B1179" s="87" t="s">
        <v>630</v>
      </c>
      <c r="C1179" s="87" t="s">
        <v>631</v>
      </c>
      <c r="D1179" s="110">
        <v>6000</v>
      </c>
      <c r="E1179" s="110"/>
      <c r="F1179" s="110">
        <f>SUM(D1179:E1179)</f>
        <v>6000</v>
      </c>
      <c r="G1179" s="92"/>
    </row>
    <row r="1180" spans="1:7" ht="13.15" customHeight="1" x14ac:dyDescent="0.2">
      <c r="A1180" s="100" t="s">
        <v>638</v>
      </c>
      <c r="B1180" s="101"/>
      <c r="C1180" s="101" t="s">
        <v>639</v>
      </c>
      <c r="D1180" s="102">
        <f t="shared" ref="D1180:F1182" si="134">+D1181</f>
        <v>37000</v>
      </c>
      <c r="E1180" s="102">
        <f t="shared" si="134"/>
        <v>0</v>
      </c>
      <c r="F1180" s="102">
        <f t="shared" si="134"/>
        <v>37000</v>
      </c>
      <c r="G1180" s="92"/>
    </row>
    <row r="1181" spans="1:7" ht="13.15" customHeight="1" x14ac:dyDescent="0.2">
      <c r="A1181" s="103" t="s">
        <v>638</v>
      </c>
      <c r="B1181" s="104" t="s">
        <v>166</v>
      </c>
      <c r="C1181" s="104" t="s">
        <v>167</v>
      </c>
      <c r="D1181" s="105">
        <f t="shared" si="134"/>
        <v>37000</v>
      </c>
      <c r="E1181" s="105">
        <f t="shared" si="134"/>
        <v>0</v>
      </c>
      <c r="F1181" s="105">
        <f t="shared" si="134"/>
        <v>37000</v>
      </c>
      <c r="G1181" s="92"/>
    </row>
    <row r="1182" spans="1:7" ht="13.15" customHeight="1" x14ac:dyDescent="0.2">
      <c r="A1182" s="106" t="s">
        <v>638</v>
      </c>
      <c r="B1182" s="107" t="s">
        <v>168</v>
      </c>
      <c r="C1182" s="107" t="s">
        <v>169</v>
      </c>
      <c r="D1182" s="108">
        <f t="shared" si="134"/>
        <v>37000</v>
      </c>
      <c r="E1182" s="108">
        <f t="shared" si="134"/>
        <v>0</v>
      </c>
      <c r="F1182" s="108">
        <f t="shared" si="134"/>
        <v>37000</v>
      </c>
      <c r="G1182" s="92"/>
    </row>
    <row r="1183" spans="1:7" ht="13.15" customHeight="1" x14ac:dyDescent="0.2">
      <c r="A1183" s="109" t="s">
        <v>638</v>
      </c>
      <c r="B1183" s="87" t="s">
        <v>630</v>
      </c>
      <c r="C1183" s="87" t="s">
        <v>631</v>
      </c>
      <c r="D1183" s="110">
        <v>37000</v>
      </c>
      <c r="E1183" s="110"/>
      <c r="F1183" s="110">
        <f>SUM(D1183:E1183)</f>
        <v>37000</v>
      </c>
      <c r="G1183" s="92"/>
    </row>
    <row r="1184" spans="1:7" ht="13.15" customHeight="1" x14ac:dyDescent="0.2">
      <c r="A1184" s="100" t="s">
        <v>640</v>
      </c>
      <c r="B1184" s="101"/>
      <c r="C1184" s="101" t="s">
        <v>641</v>
      </c>
      <c r="D1184" s="102">
        <f>+D1189</f>
        <v>6500</v>
      </c>
      <c r="E1184" s="102">
        <f>+E1185+E1189</f>
        <v>4750</v>
      </c>
      <c r="F1184" s="102">
        <f>+F1185+F1189</f>
        <v>11250</v>
      </c>
      <c r="G1184" s="92"/>
    </row>
    <row r="1185" spans="1:7" ht="13.15" customHeight="1" x14ac:dyDescent="0.2">
      <c r="A1185" s="103" t="s">
        <v>640</v>
      </c>
      <c r="B1185" s="104" t="s">
        <v>133</v>
      </c>
      <c r="C1185" s="104" t="s">
        <v>134</v>
      </c>
      <c r="D1185" s="170">
        <f>+D1186</f>
        <v>0</v>
      </c>
      <c r="E1185" s="170">
        <f>+E1186</f>
        <v>3350</v>
      </c>
      <c r="F1185" s="170">
        <f>+F1186</f>
        <v>3350</v>
      </c>
      <c r="G1185" s="92"/>
    </row>
    <row r="1186" spans="1:7" ht="13.15" customHeight="1" x14ac:dyDescent="0.2">
      <c r="A1186" s="106" t="s">
        <v>640</v>
      </c>
      <c r="B1186" s="107" t="s">
        <v>135</v>
      </c>
      <c r="C1186" s="107" t="s">
        <v>31</v>
      </c>
      <c r="D1186" s="171">
        <f>SUM(D1187:D1188)</f>
        <v>0</v>
      </c>
      <c r="E1186" s="171">
        <f>SUM(E1187:E1188)</f>
        <v>3350</v>
      </c>
      <c r="F1186" s="171">
        <f>SUM(F1187:F1188)</f>
        <v>3350</v>
      </c>
      <c r="G1186" s="92"/>
    </row>
    <row r="1187" spans="1:7" ht="13.15" customHeight="1" x14ac:dyDescent="0.2">
      <c r="A1187" s="109" t="s">
        <v>640</v>
      </c>
      <c r="B1187" s="87" t="s">
        <v>174</v>
      </c>
      <c r="C1187" s="87" t="s">
        <v>175</v>
      </c>
      <c r="E1187">
        <v>2500</v>
      </c>
      <c r="F1187">
        <f>SUM(D1187:E1187)</f>
        <v>2500</v>
      </c>
      <c r="G1187" s="118" t="s">
        <v>642</v>
      </c>
    </row>
    <row r="1188" spans="1:7" ht="13.15" customHeight="1" x14ac:dyDescent="0.2">
      <c r="A1188" s="109" t="s">
        <v>640</v>
      </c>
      <c r="B1188" s="87" t="s">
        <v>142</v>
      </c>
      <c r="C1188" s="87" t="s">
        <v>143</v>
      </c>
      <c r="E1188">
        <v>850</v>
      </c>
      <c r="F1188">
        <f>SUM(D1188:E1188)</f>
        <v>850</v>
      </c>
      <c r="G1188" s="92" t="s">
        <v>144</v>
      </c>
    </row>
    <row r="1189" spans="1:7" ht="13.15" customHeight="1" x14ac:dyDescent="0.2">
      <c r="A1189" s="103" t="s">
        <v>640</v>
      </c>
      <c r="B1189" s="104" t="s">
        <v>166</v>
      </c>
      <c r="C1189" s="104" t="s">
        <v>167</v>
      </c>
      <c r="D1189" s="105">
        <f t="shared" ref="D1189:F1190" si="135">+D1190</f>
        <v>6500</v>
      </c>
      <c r="E1189" s="105">
        <f t="shared" si="135"/>
        <v>1400</v>
      </c>
      <c r="F1189" s="105">
        <f t="shared" si="135"/>
        <v>7900</v>
      </c>
      <c r="G1189" s="92"/>
    </row>
    <row r="1190" spans="1:7" ht="13.15" customHeight="1" x14ac:dyDescent="0.2">
      <c r="A1190" s="106" t="s">
        <v>640</v>
      </c>
      <c r="B1190" s="107" t="s">
        <v>168</v>
      </c>
      <c r="C1190" s="107" t="s">
        <v>169</v>
      </c>
      <c r="D1190" s="108">
        <f t="shared" si="135"/>
        <v>6500</v>
      </c>
      <c r="E1190" s="108">
        <f t="shared" si="135"/>
        <v>1400</v>
      </c>
      <c r="F1190" s="108">
        <f t="shared" si="135"/>
        <v>7900</v>
      </c>
      <c r="G1190" s="92"/>
    </row>
    <row r="1191" spans="1:7" ht="13.15" customHeight="1" x14ac:dyDescent="0.2">
      <c r="A1191" s="109" t="s">
        <v>640</v>
      </c>
      <c r="B1191" s="87" t="s">
        <v>643</v>
      </c>
      <c r="C1191" s="87" t="s">
        <v>644</v>
      </c>
      <c r="D1191" s="110">
        <v>6500</v>
      </c>
      <c r="E1191" s="110">
        <v>1400</v>
      </c>
      <c r="F1191" s="110">
        <f>SUM(D1191:E1191)</f>
        <v>7900</v>
      </c>
      <c r="G1191" s="92"/>
    </row>
    <row r="1192" spans="1:7" ht="13.15" customHeight="1" x14ac:dyDescent="0.2">
      <c r="A1192" s="100" t="s">
        <v>645</v>
      </c>
      <c r="B1192" s="101"/>
      <c r="C1192" s="101" t="s">
        <v>646</v>
      </c>
      <c r="D1192" s="102">
        <f t="shared" ref="D1192:F1194" si="136">+D1193</f>
        <v>16000</v>
      </c>
      <c r="E1192" s="102">
        <f t="shared" si="136"/>
        <v>0</v>
      </c>
      <c r="F1192" s="102">
        <f t="shared" si="136"/>
        <v>16000</v>
      </c>
      <c r="G1192" s="92"/>
    </row>
    <row r="1193" spans="1:7" ht="13.15" customHeight="1" x14ac:dyDescent="0.2">
      <c r="A1193" s="103" t="s">
        <v>645</v>
      </c>
      <c r="B1193" s="104" t="s">
        <v>166</v>
      </c>
      <c r="C1193" s="104" t="s">
        <v>167</v>
      </c>
      <c r="D1193" s="105">
        <f t="shared" si="136"/>
        <v>16000</v>
      </c>
      <c r="E1193" s="105">
        <f t="shared" si="136"/>
        <v>0</v>
      </c>
      <c r="F1193" s="105">
        <f t="shared" si="136"/>
        <v>16000</v>
      </c>
      <c r="G1193" s="92"/>
    </row>
    <row r="1194" spans="1:7" ht="13.15" customHeight="1" x14ac:dyDescent="0.2">
      <c r="A1194" s="106" t="s">
        <v>645</v>
      </c>
      <c r="B1194" s="107" t="s">
        <v>168</v>
      </c>
      <c r="C1194" s="107" t="s">
        <v>169</v>
      </c>
      <c r="D1194" s="108">
        <f t="shared" si="136"/>
        <v>16000</v>
      </c>
      <c r="E1194" s="108">
        <f t="shared" si="136"/>
        <v>0</v>
      </c>
      <c r="F1194" s="108">
        <f t="shared" si="136"/>
        <v>16000</v>
      </c>
      <c r="G1194" s="92"/>
    </row>
    <row r="1195" spans="1:7" ht="13.15" customHeight="1" x14ac:dyDescent="0.2">
      <c r="A1195" s="109" t="s">
        <v>645</v>
      </c>
      <c r="B1195" s="87" t="s">
        <v>630</v>
      </c>
      <c r="C1195" s="87" t="s">
        <v>631</v>
      </c>
      <c r="D1195" s="110">
        <v>16000</v>
      </c>
      <c r="E1195" s="110"/>
      <c r="F1195" s="110">
        <f>SUM(D1195:E1195)</f>
        <v>16000</v>
      </c>
      <c r="G1195" s="92"/>
    </row>
    <row r="1196" spans="1:7" ht="13.15" customHeight="1" x14ac:dyDescent="0.2">
      <c r="A1196" s="100" t="s">
        <v>647</v>
      </c>
      <c r="B1196" s="101"/>
      <c r="C1196" s="101" t="s">
        <v>648</v>
      </c>
      <c r="D1196" s="102">
        <f t="shared" ref="D1196:F1198" si="137">+D1197</f>
        <v>45000</v>
      </c>
      <c r="E1196" s="102">
        <f t="shared" si="137"/>
        <v>0</v>
      </c>
      <c r="F1196" s="102">
        <f t="shared" si="137"/>
        <v>45000</v>
      </c>
      <c r="G1196" s="92"/>
    </row>
    <row r="1197" spans="1:7" ht="13.15" customHeight="1" x14ac:dyDescent="0.2">
      <c r="A1197" s="103" t="s">
        <v>647</v>
      </c>
      <c r="B1197" s="104" t="s">
        <v>166</v>
      </c>
      <c r="C1197" s="104" t="s">
        <v>167</v>
      </c>
      <c r="D1197" s="105">
        <f t="shared" si="137"/>
        <v>45000</v>
      </c>
      <c r="E1197" s="105">
        <f t="shared" si="137"/>
        <v>0</v>
      </c>
      <c r="F1197" s="105">
        <f t="shared" si="137"/>
        <v>45000</v>
      </c>
      <c r="G1197" s="92"/>
    </row>
    <row r="1198" spans="1:7" ht="13.15" customHeight="1" x14ac:dyDescent="0.2">
      <c r="A1198" s="106" t="s">
        <v>647</v>
      </c>
      <c r="B1198" s="107" t="s">
        <v>168</v>
      </c>
      <c r="C1198" s="107" t="s">
        <v>169</v>
      </c>
      <c r="D1198" s="108">
        <f t="shared" si="137"/>
        <v>45000</v>
      </c>
      <c r="E1198" s="108">
        <f t="shared" si="137"/>
        <v>0</v>
      </c>
      <c r="F1198" s="108">
        <f t="shared" si="137"/>
        <v>45000</v>
      </c>
      <c r="G1198" s="92"/>
    </row>
    <row r="1199" spans="1:7" ht="13.15" customHeight="1" x14ac:dyDescent="0.2">
      <c r="A1199" s="109" t="s">
        <v>647</v>
      </c>
      <c r="B1199" s="87" t="s">
        <v>630</v>
      </c>
      <c r="C1199" s="87" t="s">
        <v>631</v>
      </c>
      <c r="D1199" s="110">
        <v>45000</v>
      </c>
      <c r="E1199" s="110"/>
      <c r="F1199" s="110">
        <f>SUM(D1199:E1199)</f>
        <v>45000</v>
      </c>
      <c r="G1199" s="92"/>
    </row>
    <row r="1200" spans="1:7" ht="13.15" customHeight="1" x14ac:dyDescent="0.2">
      <c r="A1200" s="100" t="s">
        <v>649</v>
      </c>
      <c r="B1200" s="101"/>
      <c r="C1200" s="101" t="s">
        <v>650</v>
      </c>
      <c r="D1200" s="102">
        <f t="shared" ref="D1200:F1202" si="138">+D1201</f>
        <v>13000</v>
      </c>
      <c r="E1200" s="102">
        <f t="shared" si="138"/>
        <v>0</v>
      </c>
      <c r="F1200" s="102">
        <f t="shared" si="138"/>
        <v>13000</v>
      </c>
      <c r="G1200" s="92"/>
    </row>
    <row r="1201" spans="1:7" ht="13.15" customHeight="1" x14ac:dyDescent="0.2">
      <c r="A1201" s="103" t="s">
        <v>649</v>
      </c>
      <c r="B1201" s="104" t="s">
        <v>166</v>
      </c>
      <c r="C1201" s="104" t="s">
        <v>167</v>
      </c>
      <c r="D1201" s="105">
        <f t="shared" si="138"/>
        <v>13000</v>
      </c>
      <c r="E1201" s="105">
        <f t="shared" si="138"/>
        <v>0</v>
      </c>
      <c r="F1201" s="105">
        <f t="shared" si="138"/>
        <v>13000</v>
      </c>
      <c r="G1201" s="92"/>
    </row>
    <row r="1202" spans="1:7" ht="13.15" customHeight="1" x14ac:dyDescent="0.2">
      <c r="A1202" s="106" t="s">
        <v>649</v>
      </c>
      <c r="B1202" s="107" t="s">
        <v>168</v>
      </c>
      <c r="C1202" s="107" t="s">
        <v>169</v>
      </c>
      <c r="D1202" s="108">
        <f t="shared" si="138"/>
        <v>13000</v>
      </c>
      <c r="E1202" s="108">
        <f t="shared" si="138"/>
        <v>0</v>
      </c>
      <c r="F1202" s="108">
        <f t="shared" si="138"/>
        <v>13000</v>
      </c>
      <c r="G1202" s="92"/>
    </row>
    <row r="1203" spans="1:7" ht="13.15" customHeight="1" x14ac:dyDescent="0.2">
      <c r="A1203" s="109" t="s">
        <v>649</v>
      </c>
      <c r="B1203" s="87" t="s">
        <v>630</v>
      </c>
      <c r="C1203" s="87" t="s">
        <v>631</v>
      </c>
      <c r="D1203" s="110">
        <v>13000</v>
      </c>
      <c r="E1203" s="110"/>
      <c r="F1203" s="110">
        <f>SUM(D1203:E1203)</f>
        <v>13000</v>
      </c>
      <c r="G1203" s="92"/>
    </row>
    <row r="1204" spans="1:7" ht="13.15" customHeight="1" x14ac:dyDescent="0.2">
      <c r="A1204" s="100" t="s">
        <v>651</v>
      </c>
      <c r="B1204" s="101"/>
      <c r="C1204" s="101" t="s">
        <v>652</v>
      </c>
      <c r="D1204" s="102">
        <f>+D1205</f>
        <v>58478</v>
      </c>
      <c r="E1204" s="102">
        <f>+E1205</f>
        <v>200</v>
      </c>
      <c r="F1204" s="102">
        <f>+F1205</f>
        <v>58678</v>
      </c>
      <c r="G1204" s="92"/>
    </row>
    <row r="1205" spans="1:7" ht="13.15" customHeight="1" x14ac:dyDescent="0.2">
      <c r="A1205" s="103" t="s">
        <v>651</v>
      </c>
      <c r="B1205" s="104" t="s">
        <v>133</v>
      </c>
      <c r="C1205" s="104" t="s">
        <v>134</v>
      </c>
      <c r="D1205" s="153">
        <f>+D1206+D1210</f>
        <v>58478</v>
      </c>
      <c r="E1205" s="153">
        <f>+E1206+E1210</f>
        <v>200</v>
      </c>
      <c r="F1205" s="153">
        <f>+F1206+F1210</f>
        <v>58678</v>
      </c>
      <c r="G1205" s="92"/>
    </row>
    <row r="1206" spans="1:7" ht="13.15" customHeight="1" x14ac:dyDescent="0.2">
      <c r="A1206" s="106" t="s">
        <v>651</v>
      </c>
      <c r="B1206" s="107" t="s">
        <v>135</v>
      </c>
      <c r="C1206" s="107" t="s">
        <v>31</v>
      </c>
      <c r="D1206" s="108">
        <f>SUM(D1207:D1209)</f>
        <v>39990</v>
      </c>
      <c r="E1206" s="108">
        <f>SUM(E1207:E1209)</f>
        <v>200</v>
      </c>
      <c r="F1206" s="108">
        <f>SUM(F1207:F1209)</f>
        <v>40190</v>
      </c>
      <c r="G1206" s="92"/>
    </row>
    <row r="1207" spans="1:7" ht="13.15" customHeight="1" x14ac:dyDescent="0.2">
      <c r="A1207" s="109" t="s">
        <v>651</v>
      </c>
      <c r="B1207" s="87" t="s">
        <v>138</v>
      </c>
      <c r="C1207" s="87" t="s">
        <v>139</v>
      </c>
      <c r="D1207" s="110">
        <v>0</v>
      </c>
      <c r="E1207" s="110"/>
      <c r="F1207" s="110">
        <f>SUM(D1207:E1207)</f>
        <v>0</v>
      </c>
      <c r="G1207" s="92"/>
    </row>
    <row r="1208" spans="1:7" ht="13.15" customHeight="1" x14ac:dyDescent="0.2">
      <c r="A1208" s="109" t="s">
        <v>651</v>
      </c>
      <c r="B1208" s="87" t="s">
        <v>174</v>
      </c>
      <c r="C1208" s="87" t="s">
        <v>175</v>
      </c>
      <c r="D1208" s="110">
        <f>10000+20000</f>
        <v>30000</v>
      </c>
      <c r="E1208" s="110"/>
      <c r="F1208" s="110">
        <f>SUM(D1208:E1208)</f>
        <v>30000</v>
      </c>
      <c r="G1208" s="92"/>
    </row>
    <row r="1209" spans="1:7" ht="13.15" customHeight="1" x14ac:dyDescent="0.2">
      <c r="A1209" s="109" t="s">
        <v>651</v>
      </c>
      <c r="B1209" s="87" t="s">
        <v>142</v>
      </c>
      <c r="C1209" s="87" t="s">
        <v>143</v>
      </c>
      <c r="D1209" s="110">
        <f>3330+6660</f>
        <v>9990</v>
      </c>
      <c r="E1209" s="110">
        <v>200</v>
      </c>
      <c r="F1209" s="110">
        <f>SUM(D1209:E1209)</f>
        <v>10190</v>
      </c>
      <c r="G1209" s="92" t="s">
        <v>144</v>
      </c>
    </row>
    <row r="1210" spans="1:7" ht="13.15" customHeight="1" x14ac:dyDescent="0.2">
      <c r="A1210" s="106" t="s">
        <v>651</v>
      </c>
      <c r="B1210" s="107" t="s">
        <v>145</v>
      </c>
      <c r="C1210" s="107" t="s">
        <v>32</v>
      </c>
      <c r="D1210" s="108">
        <f>+D1211</f>
        <v>18488</v>
      </c>
      <c r="E1210" s="108">
        <f>+E1211</f>
        <v>0</v>
      </c>
      <c r="F1210" s="108">
        <f>+F1211</f>
        <v>18488</v>
      </c>
      <c r="G1210" s="92"/>
    </row>
    <row r="1211" spans="1:7" ht="13.15" customHeight="1" x14ac:dyDescent="0.2">
      <c r="A1211" s="109" t="s">
        <v>651</v>
      </c>
      <c r="B1211" s="87" t="s">
        <v>605</v>
      </c>
      <c r="C1211" s="87" t="s">
        <v>606</v>
      </c>
      <c r="D1211" s="110">
        <v>18488</v>
      </c>
      <c r="E1211" s="110"/>
      <c r="F1211" s="110">
        <f>SUM(D1211:E1211)</f>
        <v>18488</v>
      </c>
      <c r="G1211" s="92"/>
    </row>
    <row r="1212" spans="1:7" ht="13.15" customHeight="1" x14ac:dyDescent="0.2">
      <c r="A1212" s="100" t="s">
        <v>653</v>
      </c>
      <c r="B1212" s="101"/>
      <c r="C1212" s="101" t="s">
        <v>654</v>
      </c>
      <c r="D1212" s="102">
        <f t="shared" ref="D1212:F1214" si="139">+D1213</f>
        <v>1000</v>
      </c>
      <c r="E1212" s="102">
        <f t="shared" si="139"/>
        <v>0</v>
      </c>
      <c r="F1212" s="102">
        <f t="shared" si="139"/>
        <v>1000</v>
      </c>
      <c r="G1212" s="92"/>
    </row>
    <row r="1213" spans="1:7" ht="13.15" customHeight="1" x14ac:dyDescent="0.2">
      <c r="A1213" s="103" t="s">
        <v>653</v>
      </c>
      <c r="B1213" s="104" t="s">
        <v>133</v>
      </c>
      <c r="C1213" s="104" t="s">
        <v>134</v>
      </c>
      <c r="D1213" s="105">
        <f t="shared" si="139"/>
        <v>1000</v>
      </c>
      <c r="E1213" s="105">
        <f t="shared" si="139"/>
        <v>0</v>
      </c>
      <c r="F1213" s="105">
        <f t="shared" si="139"/>
        <v>1000</v>
      </c>
      <c r="G1213" s="92"/>
    </row>
    <row r="1214" spans="1:7" ht="13.15" customHeight="1" x14ac:dyDescent="0.2">
      <c r="A1214" s="106" t="s">
        <v>653</v>
      </c>
      <c r="B1214" s="107" t="s">
        <v>145</v>
      </c>
      <c r="C1214" s="107" t="s">
        <v>32</v>
      </c>
      <c r="D1214" s="108">
        <f t="shared" si="139"/>
        <v>1000</v>
      </c>
      <c r="E1214" s="108">
        <f t="shared" si="139"/>
        <v>0</v>
      </c>
      <c r="F1214" s="108">
        <f t="shared" si="139"/>
        <v>1000</v>
      </c>
      <c r="G1214" s="92"/>
    </row>
    <row r="1215" spans="1:7" ht="13.15" customHeight="1" x14ac:dyDescent="0.2">
      <c r="A1215" s="109" t="s">
        <v>653</v>
      </c>
      <c r="B1215" s="87" t="s">
        <v>195</v>
      </c>
      <c r="C1215" s="87" t="s">
        <v>196</v>
      </c>
      <c r="D1215" s="110">
        <v>1000</v>
      </c>
      <c r="E1215" s="110">
        <v>0</v>
      </c>
      <c r="F1215" s="110">
        <f>SUM(D1215:E1215)</f>
        <v>1000</v>
      </c>
      <c r="G1215" s="92"/>
    </row>
    <row r="1216" spans="1:7" ht="13.15" customHeight="1" x14ac:dyDescent="0.2">
      <c r="A1216" s="100" t="s">
        <v>655</v>
      </c>
      <c r="B1216" s="101"/>
      <c r="C1216" s="101" t="s">
        <v>656</v>
      </c>
      <c r="D1216" s="102">
        <f>+D1217+D1220</f>
        <v>44165</v>
      </c>
      <c r="E1216" s="102">
        <f>+E1217+E1220</f>
        <v>100</v>
      </c>
      <c r="F1216" s="102">
        <f>+F1217+F1220</f>
        <v>44265</v>
      </c>
      <c r="G1216" s="92"/>
    </row>
    <row r="1217" spans="1:7" ht="13.15" customHeight="1" x14ac:dyDescent="0.2">
      <c r="A1217" s="103" t="s">
        <v>655</v>
      </c>
      <c r="B1217" s="104" t="s">
        <v>127</v>
      </c>
      <c r="C1217" s="104" t="s">
        <v>128</v>
      </c>
      <c r="D1217" s="105">
        <f t="shared" ref="D1217:F1218" si="140">+D1218</f>
        <v>0</v>
      </c>
      <c r="E1217" s="105">
        <f t="shared" si="140"/>
        <v>0</v>
      </c>
      <c r="F1217" s="105">
        <f t="shared" si="140"/>
        <v>0</v>
      </c>
      <c r="G1217" s="92"/>
    </row>
    <row r="1218" spans="1:7" ht="13.15" customHeight="1" x14ac:dyDescent="0.2">
      <c r="A1218" s="106" t="s">
        <v>655</v>
      </c>
      <c r="B1218" s="107" t="s">
        <v>129</v>
      </c>
      <c r="C1218" s="107" t="s">
        <v>130</v>
      </c>
      <c r="D1218" s="108">
        <f t="shared" si="140"/>
        <v>0</v>
      </c>
      <c r="E1218" s="108">
        <f t="shared" si="140"/>
        <v>0</v>
      </c>
      <c r="F1218" s="108">
        <f t="shared" si="140"/>
        <v>0</v>
      </c>
      <c r="G1218" s="92"/>
    </row>
    <row r="1219" spans="1:7" ht="13.15" customHeight="1" x14ac:dyDescent="0.2">
      <c r="A1219" s="109" t="s">
        <v>655</v>
      </c>
      <c r="B1219" s="87" t="s">
        <v>163</v>
      </c>
      <c r="C1219" s="87" t="s">
        <v>164</v>
      </c>
      <c r="D1219" s="110">
        <v>0</v>
      </c>
      <c r="E1219" s="110"/>
      <c r="F1219" s="110">
        <f>SUM(D1219:E1219)</f>
        <v>0</v>
      </c>
      <c r="G1219" s="92"/>
    </row>
    <row r="1220" spans="1:7" ht="13.15" customHeight="1" x14ac:dyDescent="0.2">
      <c r="A1220" s="103" t="s">
        <v>655</v>
      </c>
      <c r="B1220" s="104" t="s">
        <v>133</v>
      </c>
      <c r="C1220" s="104" t="s">
        <v>134</v>
      </c>
      <c r="D1220" s="105">
        <f>+D1221+D1224</f>
        <v>44165</v>
      </c>
      <c r="E1220" s="105">
        <f>+E1221+E1224</f>
        <v>100</v>
      </c>
      <c r="F1220" s="105">
        <f>+F1221+F1224</f>
        <v>44265</v>
      </c>
      <c r="G1220" s="92"/>
    </row>
    <row r="1221" spans="1:7" ht="13.15" customHeight="1" x14ac:dyDescent="0.2">
      <c r="A1221" s="106" t="s">
        <v>655</v>
      </c>
      <c r="B1221" s="107" t="s">
        <v>135</v>
      </c>
      <c r="C1221" s="107" t="s">
        <v>31</v>
      </c>
      <c r="D1221" s="108">
        <f>SUM(D1222:D1223)</f>
        <v>8145</v>
      </c>
      <c r="E1221" s="108">
        <f>SUM(E1222:E1223)</f>
        <v>100</v>
      </c>
      <c r="F1221" s="108">
        <f>SUM(F1222:F1223)</f>
        <v>8245</v>
      </c>
      <c r="G1221" s="92"/>
    </row>
    <row r="1222" spans="1:7" ht="13.15" customHeight="1" x14ac:dyDescent="0.2">
      <c r="A1222" s="109" t="s">
        <v>655</v>
      </c>
      <c r="B1222" s="87" t="s">
        <v>138</v>
      </c>
      <c r="C1222" s="87" t="s">
        <v>139</v>
      </c>
      <c r="D1222" s="110">
        <v>6110</v>
      </c>
      <c r="E1222" s="110"/>
      <c r="F1222" s="110">
        <f>SUM(D1222:E1222)</f>
        <v>6110</v>
      </c>
      <c r="G1222" s="92"/>
    </row>
    <row r="1223" spans="1:7" ht="13.15" customHeight="1" x14ac:dyDescent="0.2">
      <c r="A1223" s="109" t="s">
        <v>655</v>
      </c>
      <c r="B1223" s="87" t="s">
        <v>142</v>
      </c>
      <c r="C1223" s="87" t="s">
        <v>143</v>
      </c>
      <c r="D1223" s="110">
        <v>2035</v>
      </c>
      <c r="E1223" s="110">
        <v>100</v>
      </c>
      <c r="F1223" s="110">
        <f>SUM(D1223:E1223)</f>
        <v>2135</v>
      </c>
      <c r="G1223" s="92" t="s">
        <v>144</v>
      </c>
    </row>
    <row r="1224" spans="1:7" ht="13.15" customHeight="1" x14ac:dyDescent="0.2">
      <c r="A1224" s="106" t="s">
        <v>655</v>
      </c>
      <c r="B1224" s="107" t="s">
        <v>145</v>
      </c>
      <c r="C1224" s="107" t="s">
        <v>32</v>
      </c>
      <c r="D1224" s="108">
        <f>SUM(D1225:D1237)-D1226</f>
        <v>36020</v>
      </c>
      <c r="E1224" s="108">
        <f>SUM(E1225:E1237)-E1226</f>
        <v>0</v>
      </c>
      <c r="F1224" s="108">
        <f>SUM(F1225:F1237)-F1226</f>
        <v>36020</v>
      </c>
      <c r="G1224" s="92"/>
    </row>
    <row r="1225" spans="1:7" ht="13.15" customHeight="1" x14ac:dyDescent="0.2">
      <c r="A1225" s="109" t="s">
        <v>655</v>
      </c>
      <c r="B1225" s="87" t="s">
        <v>146</v>
      </c>
      <c r="C1225" s="87" t="s">
        <v>147</v>
      </c>
      <c r="D1225" s="110">
        <v>900</v>
      </c>
      <c r="E1225" s="110"/>
      <c r="F1225" s="110">
        <f>SUM(D1225:E1225)</f>
        <v>900</v>
      </c>
      <c r="G1225" s="92"/>
    </row>
    <row r="1226" spans="1:7" ht="13.15" customHeight="1" x14ac:dyDescent="0.2">
      <c r="A1226" s="111" t="s">
        <v>655</v>
      </c>
      <c r="B1226" s="112" t="s">
        <v>176</v>
      </c>
      <c r="C1226" s="112" t="s">
        <v>177</v>
      </c>
      <c r="D1226" s="113">
        <f>SUM(D1227:D1234)</f>
        <v>33320</v>
      </c>
      <c r="E1226" s="113">
        <f>SUM(E1227:E1234)</f>
        <v>0</v>
      </c>
      <c r="F1226" s="113">
        <f>SUM(F1227:F1234)</f>
        <v>33320</v>
      </c>
      <c r="G1226" s="92"/>
    </row>
    <row r="1227" spans="1:7" ht="13.15" customHeight="1" x14ac:dyDescent="0.2">
      <c r="A1227" s="114" t="s">
        <v>655</v>
      </c>
      <c r="B1227" s="115" t="s">
        <v>178</v>
      </c>
      <c r="C1227" s="115" t="s">
        <v>179</v>
      </c>
      <c r="D1227" s="116">
        <v>12000</v>
      </c>
      <c r="E1227" s="116"/>
      <c r="F1227" s="116">
        <f t="shared" ref="F1227:F1237" si="141">SUM(D1227:E1227)</f>
        <v>12000</v>
      </c>
      <c r="G1227" s="92"/>
    </row>
    <row r="1228" spans="1:7" ht="13.15" customHeight="1" x14ac:dyDescent="0.2">
      <c r="A1228" s="114" t="s">
        <v>655</v>
      </c>
      <c r="B1228" s="115" t="s">
        <v>180</v>
      </c>
      <c r="C1228" s="115" t="s">
        <v>75</v>
      </c>
      <c r="D1228" s="116">
        <v>10000</v>
      </c>
      <c r="E1228" s="116"/>
      <c r="F1228" s="116">
        <f t="shared" si="141"/>
        <v>10000</v>
      </c>
      <c r="G1228" s="92"/>
    </row>
    <row r="1229" spans="1:7" ht="13.15" customHeight="1" x14ac:dyDescent="0.2">
      <c r="A1229" s="114" t="s">
        <v>655</v>
      </c>
      <c r="B1229" s="115" t="s">
        <v>181</v>
      </c>
      <c r="C1229" s="115" t="s">
        <v>182</v>
      </c>
      <c r="D1229" s="116">
        <v>1500</v>
      </c>
      <c r="E1229" s="116"/>
      <c r="F1229" s="116">
        <f t="shared" si="141"/>
        <v>1500</v>
      </c>
      <c r="G1229" s="92"/>
    </row>
    <row r="1230" spans="1:7" ht="13.15" customHeight="1" x14ac:dyDescent="0.2">
      <c r="A1230" s="114" t="s">
        <v>655</v>
      </c>
      <c r="B1230" s="115" t="s">
        <v>183</v>
      </c>
      <c r="C1230" s="115" t="s">
        <v>184</v>
      </c>
      <c r="D1230" s="116">
        <v>2000</v>
      </c>
      <c r="E1230" s="116"/>
      <c r="F1230" s="116">
        <f t="shared" si="141"/>
        <v>2000</v>
      </c>
      <c r="G1230" s="92"/>
    </row>
    <row r="1231" spans="1:7" ht="13.15" customHeight="1" x14ac:dyDescent="0.2">
      <c r="A1231" s="114" t="s">
        <v>655</v>
      </c>
      <c r="B1231" s="115" t="s">
        <v>185</v>
      </c>
      <c r="C1231" s="115" t="s">
        <v>186</v>
      </c>
      <c r="D1231" s="116">
        <v>3800</v>
      </c>
      <c r="E1231" s="116"/>
      <c r="F1231" s="116">
        <f t="shared" si="141"/>
        <v>3800</v>
      </c>
      <c r="G1231" s="92"/>
    </row>
    <row r="1232" spans="1:7" ht="13.15" customHeight="1" x14ac:dyDescent="0.2">
      <c r="A1232" s="114" t="s">
        <v>655</v>
      </c>
      <c r="B1232" s="115" t="s">
        <v>187</v>
      </c>
      <c r="C1232" s="115" t="s">
        <v>188</v>
      </c>
      <c r="D1232" s="116">
        <v>900</v>
      </c>
      <c r="E1232" s="116"/>
      <c r="F1232" s="116">
        <f t="shared" si="141"/>
        <v>900</v>
      </c>
      <c r="G1232" s="92"/>
    </row>
    <row r="1233" spans="1:7" ht="13.15" customHeight="1" x14ac:dyDescent="0.2">
      <c r="A1233" s="114" t="s">
        <v>655</v>
      </c>
      <c r="B1233" s="115" t="s">
        <v>189</v>
      </c>
      <c r="C1233" s="115" t="s">
        <v>190</v>
      </c>
      <c r="D1233" s="116">
        <v>2800</v>
      </c>
      <c r="E1233" s="116"/>
      <c r="F1233" s="116">
        <f t="shared" si="141"/>
        <v>2800</v>
      </c>
      <c r="G1233" s="92"/>
    </row>
    <row r="1234" spans="1:7" ht="13.15" customHeight="1" x14ac:dyDescent="0.2">
      <c r="A1234" s="114" t="s">
        <v>655</v>
      </c>
      <c r="B1234" s="115" t="s">
        <v>191</v>
      </c>
      <c r="C1234" s="115" t="s">
        <v>192</v>
      </c>
      <c r="D1234" s="116">
        <v>320</v>
      </c>
      <c r="E1234" s="116"/>
      <c r="F1234" s="116">
        <f t="shared" si="141"/>
        <v>320</v>
      </c>
      <c r="G1234" s="92"/>
    </row>
    <row r="1235" spans="1:7" ht="13.15" customHeight="1" x14ac:dyDescent="0.2">
      <c r="A1235" s="109" t="s">
        <v>655</v>
      </c>
      <c r="B1235" s="87" t="s">
        <v>154</v>
      </c>
      <c r="C1235" s="87" t="s">
        <v>155</v>
      </c>
      <c r="D1235" s="110">
        <v>200</v>
      </c>
      <c r="E1235" s="110"/>
      <c r="F1235" s="110">
        <f t="shared" si="141"/>
        <v>200</v>
      </c>
      <c r="G1235" s="92"/>
    </row>
    <row r="1236" spans="1:7" ht="13.15" customHeight="1" x14ac:dyDescent="0.2">
      <c r="A1236" s="109" t="s">
        <v>655</v>
      </c>
      <c r="B1236" s="87" t="s">
        <v>156</v>
      </c>
      <c r="C1236" s="87" t="s">
        <v>157</v>
      </c>
      <c r="D1236" s="110">
        <v>1500</v>
      </c>
      <c r="E1236" s="110"/>
      <c r="F1236" s="110">
        <f t="shared" si="141"/>
        <v>1500</v>
      </c>
      <c r="G1236" s="92"/>
    </row>
    <row r="1237" spans="1:7" ht="13.15" customHeight="1" x14ac:dyDescent="0.2">
      <c r="A1237" s="109" t="s">
        <v>655</v>
      </c>
      <c r="B1237" s="87" t="s">
        <v>158</v>
      </c>
      <c r="C1237" s="87" t="s">
        <v>159</v>
      </c>
      <c r="D1237" s="110">
        <v>100</v>
      </c>
      <c r="E1237" s="110"/>
      <c r="F1237" s="110">
        <f t="shared" si="141"/>
        <v>100</v>
      </c>
      <c r="G1237" s="92"/>
    </row>
    <row r="1238" spans="1:7" ht="13.15" customHeight="1" x14ac:dyDescent="0.2">
      <c r="A1238" s="100" t="s">
        <v>657</v>
      </c>
      <c r="B1238" s="101"/>
      <c r="C1238" s="101" t="s">
        <v>658</v>
      </c>
      <c r="D1238" s="102">
        <f>+D1239+D1242</f>
        <v>70380</v>
      </c>
      <c r="E1238" s="102">
        <f>+E1239+E1242</f>
        <v>0</v>
      </c>
      <c r="F1238" s="102">
        <f>+F1239+F1242</f>
        <v>70380</v>
      </c>
      <c r="G1238" s="92"/>
    </row>
    <row r="1239" spans="1:7" ht="13.15" customHeight="1" x14ac:dyDescent="0.2">
      <c r="A1239" s="103" t="s">
        <v>657</v>
      </c>
      <c r="B1239" s="104" t="s">
        <v>166</v>
      </c>
      <c r="C1239" s="104" t="s">
        <v>167</v>
      </c>
      <c r="D1239" s="105">
        <f>+D1240</f>
        <v>59180</v>
      </c>
      <c r="E1239" s="105">
        <f>+E1240</f>
        <v>0</v>
      </c>
      <c r="F1239" s="105">
        <f>+F1240</f>
        <v>59180</v>
      </c>
      <c r="G1239" s="92"/>
    </row>
    <row r="1240" spans="1:7" ht="13.15" customHeight="1" x14ac:dyDescent="0.2">
      <c r="A1240" s="106" t="s">
        <v>657</v>
      </c>
      <c r="B1240" s="107" t="s">
        <v>219</v>
      </c>
      <c r="C1240" s="107" t="s">
        <v>220</v>
      </c>
      <c r="D1240" s="108">
        <f>SUM(D1241)</f>
        <v>59180</v>
      </c>
      <c r="E1240" s="108">
        <f>SUM(E1241)</f>
        <v>0</v>
      </c>
      <c r="F1240" s="108">
        <f>SUM(F1241)</f>
        <v>59180</v>
      </c>
      <c r="G1240" s="92"/>
    </row>
    <row r="1241" spans="1:7" ht="13.15" customHeight="1" x14ac:dyDescent="0.2">
      <c r="A1241" s="109" t="s">
        <v>657</v>
      </c>
      <c r="B1241" s="87" t="s">
        <v>221</v>
      </c>
      <c r="C1241" s="87" t="s">
        <v>222</v>
      </c>
      <c r="D1241" s="110">
        <v>59180</v>
      </c>
      <c r="E1241" s="110"/>
      <c r="F1241" s="110">
        <f>SUM(D1241:E1241)</f>
        <v>59180</v>
      </c>
      <c r="G1241" s="92"/>
    </row>
    <row r="1242" spans="1:7" ht="13.15" customHeight="1" x14ac:dyDescent="0.2">
      <c r="A1242" s="103" t="s">
        <v>657</v>
      </c>
      <c r="B1242" s="104" t="s">
        <v>133</v>
      </c>
      <c r="C1242" s="104" t="s">
        <v>134</v>
      </c>
      <c r="D1242" s="105">
        <f>+D1243</f>
        <v>11200</v>
      </c>
      <c r="E1242" s="105">
        <f>+E1243</f>
        <v>0</v>
      </c>
      <c r="F1242" s="105">
        <f>+F1243</f>
        <v>11200</v>
      </c>
      <c r="G1242" s="92"/>
    </row>
    <row r="1243" spans="1:7" ht="13.15" customHeight="1" x14ac:dyDescent="0.2">
      <c r="A1243" s="106" t="s">
        <v>657</v>
      </c>
      <c r="B1243" s="107" t="s">
        <v>145</v>
      </c>
      <c r="C1243" s="107" t="s">
        <v>32</v>
      </c>
      <c r="D1243" s="108">
        <f>SUM(D1244:D1251)-D1244</f>
        <v>11200</v>
      </c>
      <c r="E1243" s="108">
        <f>SUM(E1244:E1251)-E1244</f>
        <v>0</v>
      </c>
      <c r="F1243" s="108">
        <f>SUM(F1244:F1251)-F1244</f>
        <v>11200</v>
      </c>
      <c r="G1243" s="92"/>
    </row>
    <row r="1244" spans="1:7" ht="13.15" customHeight="1" x14ac:dyDescent="0.2">
      <c r="A1244" s="111" t="s">
        <v>657</v>
      </c>
      <c r="B1244" s="112" t="s">
        <v>176</v>
      </c>
      <c r="C1244" s="112" t="s">
        <v>177</v>
      </c>
      <c r="D1244" s="113">
        <f>SUM(D1246:D1250)</f>
        <v>5700</v>
      </c>
      <c r="E1244" s="113">
        <f>SUM(E1246:E1250)</f>
        <v>0</v>
      </c>
      <c r="F1244" s="113">
        <f>SUM(F1246:F1250)</f>
        <v>5700</v>
      </c>
      <c r="G1244" s="92"/>
    </row>
    <row r="1245" spans="1:7" ht="13.15" customHeight="1" x14ac:dyDescent="0.2">
      <c r="A1245" s="114" t="s">
        <v>657</v>
      </c>
      <c r="B1245" s="115" t="s">
        <v>178</v>
      </c>
      <c r="C1245" s="115" t="s">
        <v>179</v>
      </c>
      <c r="D1245" s="116">
        <v>5500</v>
      </c>
      <c r="E1245" s="116"/>
      <c r="F1245" s="116">
        <f t="shared" ref="F1245:F1251" si="142">SUM(D1245:E1245)</f>
        <v>5500</v>
      </c>
      <c r="G1245" s="92"/>
    </row>
    <row r="1246" spans="1:7" ht="13.15" customHeight="1" x14ac:dyDescent="0.2">
      <c r="A1246" s="114" t="s">
        <v>657</v>
      </c>
      <c r="B1246" s="115" t="s">
        <v>180</v>
      </c>
      <c r="C1246" s="115" t="s">
        <v>75</v>
      </c>
      <c r="D1246" s="116">
        <v>4000</v>
      </c>
      <c r="E1246" s="116"/>
      <c r="F1246" s="116">
        <f t="shared" si="142"/>
        <v>4000</v>
      </c>
      <c r="G1246" s="92"/>
    </row>
    <row r="1247" spans="1:7" ht="13.15" customHeight="1" x14ac:dyDescent="0.2">
      <c r="A1247" s="114" t="s">
        <v>657</v>
      </c>
      <c r="B1247" s="115" t="s">
        <v>181</v>
      </c>
      <c r="C1247" s="115" t="s">
        <v>182</v>
      </c>
      <c r="D1247" s="116">
        <v>500</v>
      </c>
      <c r="E1247" s="116"/>
      <c r="F1247" s="116">
        <f t="shared" si="142"/>
        <v>500</v>
      </c>
      <c r="G1247" s="92"/>
    </row>
    <row r="1248" spans="1:7" ht="13.15" customHeight="1" x14ac:dyDescent="0.2">
      <c r="A1248" s="114" t="s">
        <v>657</v>
      </c>
      <c r="B1248" s="115" t="s">
        <v>183</v>
      </c>
      <c r="C1248" s="115" t="s">
        <v>184</v>
      </c>
      <c r="D1248" s="116">
        <v>0</v>
      </c>
      <c r="E1248" s="116"/>
      <c r="F1248" s="116">
        <f t="shared" si="142"/>
        <v>0</v>
      </c>
      <c r="G1248" s="92"/>
    </row>
    <row r="1249" spans="1:7" ht="13.15" customHeight="1" x14ac:dyDescent="0.2">
      <c r="A1249" s="114" t="s">
        <v>657</v>
      </c>
      <c r="B1249" s="115" t="s">
        <v>185</v>
      </c>
      <c r="C1249" s="115" t="s">
        <v>186</v>
      </c>
      <c r="D1249" s="116">
        <v>1200</v>
      </c>
      <c r="E1249" s="116"/>
      <c r="F1249" s="116">
        <f t="shared" si="142"/>
        <v>1200</v>
      </c>
      <c r="G1249" s="92"/>
    </row>
    <row r="1250" spans="1:7" ht="13.15" customHeight="1" x14ac:dyDescent="0.2">
      <c r="A1250" s="114" t="s">
        <v>657</v>
      </c>
      <c r="B1250" s="115" t="s">
        <v>189</v>
      </c>
      <c r="C1250" s="115" t="s">
        <v>190</v>
      </c>
      <c r="D1250" s="116">
        <v>0</v>
      </c>
      <c r="E1250" s="116"/>
      <c r="F1250" s="116">
        <f t="shared" si="142"/>
        <v>0</v>
      </c>
      <c r="G1250" s="92"/>
    </row>
    <row r="1251" spans="1:7" ht="13.15" customHeight="1" x14ac:dyDescent="0.2">
      <c r="A1251" s="109" t="s">
        <v>657</v>
      </c>
      <c r="B1251" s="87" t="s">
        <v>158</v>
      </c>
      <c r="C1251" s="87" t="s">
        <v>159</v>
      </c>
      <c r="D1251" s="110">
        <v>0</v>
      </c>
      <c r="E1251" s="110"/>
      <c r="F1251" s="110">
        <f t="shared" si="142"/>
        <v>0</v>
      </c>
      <c r="G1251" s="92"/>
    </row>
    <row r="1252" spans="1:7" ht="13.15" customHeight="1" x14ac:dyDescent="0.2">
      <c r="A1252" s="100" t="s">
        <v>103</v>
      </c>
      <c r="B1252" s="101"/>
      <c r="C1252" s="101" t="s">
        <v>659</v>
      </c>
      <c r="D1252" s="102">
        <f>+D1253+D1256+D1261</f>
        <v>307293</v>
      </c>
      <c r="E1252" s="102">
        <f>+E1253+E1256+E1261</f>
        <v>70886.78</v>
      </c>
      <c r="F1252" s="102">
        <f>+F1253+F1256+F1261</f>
        <v>378179.77999999997</v>
      </c>
      <c r="G1252" s="92"/>
    </row>
    <row r="1253" spans="1:7" ht="13.15" customHeight="1" x14ac:dyDescent="0.2">
      <c r="A1253" s="103" t="s">
        <v>103</v>
      </c>
      <c r="B1253" s="104" t="s">
        <v>127</v>
      </c>
      <c r="C1253" s="104" t="s">
        <v>128</v>
      </c>
      <c r="D1253" s="105">
        <f t="shared" ref="D1253:F1254" si="143">+D1254</f>
        <v>0</v>
      </c>
      <c r="E1253" s="105">
        <f t="shared" si="143"/>
        <v>0</v>
      </c>
      <c r="F1253" s="105">
        <f t="shared" si="143"/>
        <v>0</v>
      </c>
      <c r="G1253" s="92"/>
    </row>
    <row r="1254" spans="1:7" ht="13.15" customHeight="1" x14ac:dyDescent="0.2">
      <c r="A1254" s="106" t="s">
        <v>103</v>
      </c>
      <c r="B1254" s="107" t="s">
        <v>129</v>
      </c>
      <c r="C1254" s="107" t="s">
        <v>130</v>
      </c>
      <c r="D1254" s="108">
        <f t="shared" si="143"/>
        <v>0</v>
      </c>
      <c r="E1254" s="108">
        <f t="shared" si="143"/>
        <v>0</v>
      </c>
      <c r="F1254" s="108">
        <f t="shared" si="143"/>
        <v>0</v>
      </c>
      <c r="G1254" s="92"/>
    </row>
    <row r="1255" spans="1:7" ht="13.15" customHeight="1" x14ac:dyDescent="0.2">
      <c r="A1255" s="109" t="s">
        <v>103</v>
      </c>
      <c r="B1255" s="87" t="s">
        <v>247</v>
      </c>
      <c r="C1255" s="87" t="s">
        <v>248</v>
      </c>
      <c r="D1255" s="110">
        <v>0</v>
      </c>
      <c r="E1255" s="110"/>
      <c r="F1255" s="110">
        <f>SUM(D1255:E1255)</f>
        <v>0</v>
      </c>
      <c r="G1255" s="92"/>
    </row>
    <row r="1256" spans="1:7" ht="13.15" customHeight="1" x14ac:dyDescent="0.2">
      <c r="A1256" s="103" t="s">
        <v>103</v>
      </c>
      <c r="B1256" s="104" t="s">
        <v>166</v>
      </c>
      <c r="C1256" s="104" t="s">
        <v>167</v>
      </c>
      <c r="D1256" s="105">
        <f>+D1257</f>
        <v>302890</v>
      </c>
      <c r="E1256" s="105">
        <f>+E1257</f>
        <v>68238.2</v>
      </c>
      <c r="F1256" s="105">
        <f>+F1257</f>
        <v>371128.19999999995</v>
      </c>
      <c r="G1256" s="92"/>
    </row>
    <row r="1257" spans="1:7" ht="13.15" customHeight="1" x14ac:dyDescent="0.2">
      <c r="A1257" s="106" t="s">
        <v>103</v>
      </c>
      <c r="B1257" s="107" t="s">
        <v>168</v>
      </c>
      <c r="C1257" s="107" t="s">
        <v>169</v>
      </c>
      <c r="D1257" s="108">
        <f>SUM(D1258:D1260)</f>
        <v>302890</v>
      </c>
      <c r="E1257" s="108">
        <f>SUM(E1258:E1260)</f>
        <v>68238.2</v>
      </c>
      <c r="F1257" s="108">
        <f>SUM(F1258:F1260)</f>
        <v>371128.19999999995</v>
      </c>
      <c r="G1257" s="92"/>
    </row>
    <row r="1258" spans="1:7" ht="13.15" customHeight="1" x14ac:dyDescent="0.2">
      <c r="A1258" s="109" t="s">
        <v>103</v>
      </c>
      <c r="B1258" s="87" t="s">
        <v>630</v>
      </c>
      <c r="C1258" s="87" t="s">
        <v>631</v>
      </c>
      <c r="D1258" s="110">
        <v>0</v>
      </c>
      <c r="E1258" s="110"/>
      <c r="F1258" s="110">
        <f>SUM(D1258:E1258)</f>
        <v>0</v>
      </c>
      <c r="G1258" s="118"/>
    </row>
    <row r="1259" spans="1:7" ht="13.15" customHeight="1" x14ac:dyDescent="0.2">
      <c r="A1259" s="109" t="s">
        <v>103</v>
      </c>
      <c r="B1259" s="87" t="s">
        <v>660</v>
      </c>
      <c r="C1259" s="87" t="s">
        <v>661</v>
      </c>
      <c r="D1259" s="110">
        <v>297649</v>
      </c>
      <c r="E1259" s="110">
        <f>11177.6+32932</f>
        <v>44109.599999999999</v>
      </c>
      <c r="F1259" s="110">
        <f>SUM(D1259:E1259)</f>
        <v>341758.6</v>
      </c>
      <c r="G1259" s="118" t="s">
        <v>662</v>
      </c>
    </row>
    <row r="1260" spans="1:7" ht="13.15" customHeight="1" x14ac:dyDescent="0.2">
      <c r="A1260" s="109" t="s">
        <v>103</v>
      </c>
      <c r="B1260" s="87" t="s">
        <v>612</v>
      </c>
      <c r="C1260" s="87" t="s">
        <v>613</v>
      </c>
      <c r="D1260" s="110">
        <v>5241</v>
      </c>
      <c r="E1260" s="110">
        <f>1308.6+22820</f>
        <v>24128.6</v>
      </c>
      <c r="F1260" s="110">
        <f>SUM(D1260:E1260)</f>
        <v>29369.599999999999</v>
      </c>
      <c r="G1260" s="118" t="s">
        <v>663</v>
      </c>
    </row>
    <row r="1261" spans="1:7" ht="13.15" customHeight="1" x14ac:dyDescent="0.2">
      <c r="A1261" s="103" t="s">
        <v>103</v>
      </c>
      <c r="B1261" s="104" t="s">
        <v>133</v>
      </c>
      <c r="C1261" s="104" t="s">
        <v>134</v>
      </c>
      <c r="D1261" s="105">
        <f>+D1262</f>
        <v>4403</v>
      </c>
      <c r="E1261" s="105">
        <f>+E1262</f>
        <v>2648.58</v>
      </c>
      <c r="F1261" s="105">
        <f>+F1262</f>
        <v>7051.58</v>
      </c>
      <c r="G1261" s="92"/>
    </row>
    <row r="1262" spans="1:7" ht="13.15" customHeight="1" x14ac:dyDescent="0.2">
      <c r="A1262" s="106" t="s">
        <v>103</v>
      </c>
      <c r="B1262" s="107" t="s">
        <v>145</v>
      </c>
      <c r="C1262" s="107" t="s">
        <v>32</v>
      </c>
      <c r="D1262" s="108">
        <f>SUM(D1263:D1268)</f>
        <v>4403</v>
      </c>
      <c r="E1262" s="108">
        <f>SUM(E1263:E1268)</f>
        <v>2648.58</v>
      </c>
      <c r="F1262" s="108">
        <f>SUM(F1263:F1268)</f>
        <v>7051.58</v>
      </c>
      <c r="G1262" s="92"/>
    </row>
    <row r="1263" spans="1:7" ht="13.15" customHeight="1" x14ac:dyDescent="0.2">
      <c r="A1263" s="109" t="s">
        <v>103</v>
      </c>
      <c r="B1263" s="87" t="s">
        <v>146</v>
      </c>
      <c r="C1263" s="87" t="s">
        <v>147</v>
      </c>
      <c r="D1263" s="110">
        <v>4403</v>
      </c>
      <c r="E1263" s="110">
        <f>1400.58+1248-1300</f>
        <v>1348.58</v>
      </c>
      <c r="F1263" s="110">
        <f t="shared" ref="F1263:F1268" si="144">SUM(D1263:E1263)</f>
        <v>5751.58</v>
      </c>
      <c r="G1263" s="118" t="s">
        <v>664</v>
      </c>
    </row>
    <row r="1264" spans="1:7" ht="13.15" customHeight="1" x14ac:dyDescent="0.2">
      <c r="A1264" s="109" t="s">
        <v>103</v>
      </c>
      <c r="B1264" s="87" t="s">
        <v>150</v>
      </c>
      <c r="C1264" s="87" t="s">
        <v>151</v>
      </c>
      <c r="D1264" s="110">
        <v>0</v>
      </c>
      <c r="E1264" s="110"/>
      <c r="F1264" s="110">
        <f t="shared" si="144"/>
        <v>0</v>
      </c>
      <c r="G1264" s="92"/>
    </row>
    <row r="1265" spans="1:7" ht="13.15" customHeight="1" x14ac:dyDescent="0.2">
      <c r="A1265" s="109" t="s">
        <v>103</v>
      </c>
      <c r="B1265" s="87" t="s">
        <v>152</v>
      </c>
      <c r="C1265" s="87" t="s">
        <v>153</v>
      </c>
      <c r="D1265" s="110">
        <v>0</v>
      </c>
      <c r="E1265" s="110">
        <v>1300</v>
      </c>
      <c r="F1265" s="110">
        <f t="shared" si="144"/>
        <v>1300</v>
      </c>
      <c r="G1265" s="92" t="s">
        <v>665</v>
      </c>
    </row>
    <row r="1266" spans="1:7" ht="13.15" customHeight="1" x14ac:dyDescent="0.2">
      <c r="A1266" s="109" t="s">
        <v>103</v>
      </c>
      <c r="B1266" s="87" t="s">
        <v>154</v>
      </c>
      <c r="C1266" s="87" t="s">
        <v>155</v>
      </c>
      <c r="D1266" s="110">
        <v>0</v>
      </c>
      <c r="E1266" s="110"/>
      <c r="F1266" s="110">
        <f t="shared" si="144"/>
        <v>0</v>
      </c>
      <c r="G1266" s="92"/>
    </row>
    <row r="1267" spans="1:7" ht="13.15" customHeight="1" x14ac:dyDescent="0.2">
      <c r="A1267" s="109" t="s">
        <v>103</v>
      </c>
      <c r="B1267" s="87" t="s">
        <v>605</v>
      </c>
      <c r="C1267" s="87" t="s">
        <v>606</v>
      </c>
      <c r="D1267" s="110">
        <v>0</v>
      </c>
      <c r="E1267" s="110"/>
      <c r="F1267" s="110">
        <f t="shared" si="144"/>
        <v>0</v>
      </c>
      <c r="G1267" s="92"/>
    </row>
    <row r="1268" spans="1:7" ht="13.15" customHeight="1" x14ac:dyDescent="0.2">
      <c r="A1268" s="109" t="s">
        <v>103</v>
      </c>
      <c r="B1268" s="87" t="s">
        <v>199</v>
      </c>
      <c r="C1268" s="87" t="s">
        <v>200</v>
      </c>
      <c r="D1268" s="110">
        <v>0</v>
      </c>
      <c r="E1268" s="110"/>
      <c r="F1268" s="110">
        <f t="shared" si="144"/>
        <v>0</v>
      </c>
      <c r="G1268" s="92"/>
    </row>
    <row r="1269" spans="1:7" ht="13.15" customHeight="1" x14ac:dyDescent="0.2">
      <c r="A1269" s="131">
        <v>1070201</v>
      </c>
      <c r="B1269" s="101"/>
      <c r="C1269" s="101" t="s">
        <v>666</v>
      </c>
      <c r="D1269" s="102">
        <f>+D1270</f>
        <v>98500</v>
      </c>
      <c r="E1269" s="102">
        <f>+E1270</f>
        <v>1410</v>
      </c>
      <c r="F1269" s="102">
        <f>+F1270</f>
        <v>99910</v>
      </c>
      <c r="G1269" s="92"/>
    </row>
    <row r="1270" spans="1:7" ht="13.15" customHeight="1" x14ac:dyDescent="0.2">
      <c r="A1270" s="103" t="s">
        <v>667</v>
      </c>
      <c r="B1270" s="104" t="s">
        <v>166</v>
      </c>
      <c r="C1270" s="104" t="s">
        <v>167</v>
      </c>
      <c r="D1270" s="105">
        <f>+D1271+D1274</f>
        <v>98500</v>
      </c>
      <c r="E1270" s="105">
        <f>+E1271+E1274</f>
        <v>1410</v>
      </c>
      <c r="F1270" s="105">
        <f>+F1271+F1274</f>
        <v>99910</v>
      </c>
      <c r="G1270" s="92"/>
    </row>
    <row r="1271" spans="1:7" ht="13.15" customHeight="1" x14ac:dyDescent="0.2">
      <c r="A1271" s="106" t="s">
        <v>667</v>
      </c>
      <c r="B1271" s="107" t="s">
        <v>168</v>
      </c>
      <c r="C1271" s="107" t="s">
        <v>169</v>
      </c>
      <c r="D1271" s="108">
        <f>SUM(D1272:D1273)</f>
        <v>83000</v>
      </c>
      <c r="E1271" s="108">
        <f>SUM(E1272:E1273)</f>
        <v>1410</v>
      </c>
      <c r="F1271" s="108">
        <f>SUM(F1272:F1273)</f>
        <v>84410</v>
      </c>
      <c r="G1271" s="92"/>
    </row>
    <row r="1272" spans="1:7" ht="13.15" customHeight="1" x14ac:dyDescent="0.2">
      <c r="A1272" s="109" t="s">
        <v>667</v>
      </c>
      <c r="B1272" s="87" t="s">
        <v>630</v>
      </c>
      <c r="C1272" s="87" t="s">
        <v>631</v>
      </c>
      <c r="D1272" s="110">
        <v>0</v>
      </c>
      <c r="E1272" s="110">
        <v>1410</v>
      </c>
      <c r="F1272" s="110">
        <f>SUM(D1272:E1272)</f>
        <v>1410</v>
      </c>
      <c r="G1272" s="118" t="s">
        <v>668</v>
      </c>
    </row>
    <row r="1273" spans="1:7" ht="13.15" customHeight="1" x14ac:dyDescent="0.2">
      <c r="A1273" s="109" t="s">
        <v>667</v>
      </c>
      <c r="B1273" s="87" t="s">
        <v>612</v>
      </c>
      <c r="C1273" s="87" t="s">
        <v>613</v>
      </c>
      <c r="D1273" s="110">
        <v>83000</v>
      </c>
      <c r="E1273" s="110"/>
      <c r="F1273" s="110">
        <f>SUM(D1273:E1273)</f>
        <v>83000</v>
      </c>
      <c r="G1273" s="92"/>
    </row>
    <row r="1274" spans="1:7" ht="13.15" customHeight="1" x14ac:dyDescent="0.2">
      <c r="A1274" s="106" t="s">
        <v>667</v>
      </c>
      <c r="B1274" s="107" t="s">
        <v>219</v>
      </c>
      <c r="C1274" s="107" t="s">
        <v>220</v>
      </c>
      <c r="D1274" s="108">
        <f>+D1275</f>
        <v>15500</v>
      </c>
      <c r="E1274" s="108">
        <f>+E1275</f>
        <v>0</v>
      </c>
      <c r="F1274" s="108">
        <f>+F1275</f>
        <v>15500</v>
      </c>
      <c r="G1274" s="92"/>
    </row>
    <row r="1275" spans="1:7" ht="13.15" customHeight="1" x14ac:dyDescent="0.2">
      <c r="A1275" s="109" t="s">
        <v>667</v>
      </c>
      <c r="B1275" s="87" t="s">
        <v>221</v>
      </c>
      <c r="C1275" s="87" t="s">
        <v>222</v>
      </c>
      <c r="D1275" s="110">
        <v>15500</v>
      </c>
      <c r="E1275" s="110"/>
      <c r="F1275" s="110">
        <f>SUM(D1275:E1275)</f>
        <v>15500</v>
      </c>
      <c r="G1275" s="92"/>
    </row>
    <row r="1276" spans="1:7" ht="13.15" customHeight="1" x14ac:dyDescent="0.2">
      <c r="A1276" s="100" t="s">
        <v>669</v>
      </c>
      <c r="B1276" s="101"/>
      <c r="C1276" s="101" t="s">
        <v>670</v>
      </c>
      <c r="D1276" s="102">
        <f t="shared" ref="D1276:F1278" si="145">+D1277</f>
        <v>9400</v>
      </c>
      <c r="E1276" s="102">
        <f t="shared" si="145"/>
        <v>0</v>
      </c>
      <c r="F1276" s="102">
        <f t="shared" si="145"/>
        <v>9400</v>
      </c>
      <c r="G1276" s="92"/>
    </row>
    <row r="1277" spans="1:7" ht="13.15" customHeight="1" x14ac:dyDescent="0.2">
      <c r="A1277" s="103" t="s">
        <v>669</v>
      </c>
      <c r="B1277" s="104" t="s">
        <v>166</v>
      </c>
      <c r="C1277" s="104" t="s">
        <v>167</v>
      </c>
      <c r="D1277" s="105">
        <f t="shared" si="145"/>
        <v>9400</v>
      </c>
      <c r="E1277" s="105">
        <f t="shared" si="145"/>
        <v>0</v>
      </c>
      <c r="F1277" s="105">
        <f t="shared" si="145"/>
        <v>9400</v>
      </c>
      <c r="G1277" s="92"/>
    </row>
    <row r="1278" spans="1:7" ht="13.15" customHeight="1" x14ac:dyDescent="0.2">
      <c r="A1278" s="106" t="s">
        <v>669</v>
      </c>
      <c r="B1278" s="107" t="s">
        <v>168</v>
      </c>
      <c r="C1278" s="107" t="s">
        <v>169</v>
      </c>
      <c r="D1278" s="108">
        <f t="shared" si="145"/>
        <v>9400</v>
      </c>
      <c r="E1278" s="108">
        <f t="shared" si="145"/>
        <v>0</v>
      </c>
      <c r="F1278" s="108">
        <f t="shared" si="145"/>
        <v>9400</v>
      </c>
      <c r="G1278" s="92"/>
    </row>
    <row r="1279" spans="1:7" ht="13.15" customHeight="1" x14ac:dyDescent="0.2">
      <c r="A1279" s="109" t="s">
        <v>669</v>
      </c>
      <c r="B1279" s="87" t="s">
        <v>612</v>
      </c>
      <c r="C1279" s="87" t="s">
        <v>613</v>
      </c>
      <c r="D1279" s="110">
        <v>9400</v>
      </c>
      <c r="E1279" s="110"/>
      <c r="F1279" s="110">
        <f>SUM(D1279:E1279)</f>
        <v>9400</v>
      </c>
      <c r="G1279" s="92"/>
    </row>
    <row r="1280" spans="1:7" ht="13.15" customHeight="1" x14ac:dyDescent="0.2">
      <c r="A1280" s="100" t="s">
        <v>671</v>
      </c>
      <c r="B1280" s="101"/>
      <c r="C1280" s="101" t="s">
        <v>672</v>
      </c>
      <c r="D1280" s="102">
        <f t="shared" ref="D1280:F1282" si="146">+D1281</f>
        <v>4100</v>
      </c>
      <c r="E1280" s="102">
        <f t="shared" si="146"/>
        <v>0</v>
      </c>
      <c r="F1280" s="102">
        <f t="shared" si="146"/>
        <v>4100</v>
      </c>
      <c r="G1280" s="92"/>
    </row>
    <row r="1281" spans="1:7" ht="13.15" customHeight="1" x14ac:dyDescent="0.2">
      <c r="A1281" s="103" t="s">
        <v>671</v>
      </c>
      <c r="B1281" s="104" t="s">
        <v>166</v>
      </c>
      <c r="C1281" s="104" t="s">
        <v>167</v>
      </c>
      <c r="D1281" s="105">
        <f t="shared" si="146"/>
        <v>4100</v>
      </c>
      <c r="E1281" s="105">
        <f t="shared" si="146"/>
        <v>0</v>
      </c>
      <c r="F1281" s="105">
        <f t="shared" si="146"/>
        <v>4100</v>
      </c>
      <c r="G1281" s="92"/>
    </row>
    <row r="1282" spans="1:7" ht="13.15" customHeight="1" x14ac:dyDescent="0.2">
      <c r="A1282" s="106" t="s">
        <v>671</v>
      </c>
      <c r="B1282" s="107" t="s">
        <v>168</v>
      </c>
      <c r="C1282" s="107" t="s">
        <v>169</v>
      </c>
      <c r="D1282" s="108">
        <f t="shared" si="146"/>
        <v>4100</v>
      </c>
      <c r="E1282" s="108">
        <f t="shared" si="146"/>
        <v>0</v>
      </c>
      <c r="F1282" s="108">
        <f t="shared" si="146"/>
        <v>4100</v>
      </c>
      <c r="G1282" s="92"/>
    </row>
    <row r="1283" spans="1:7" ht="13.15" customHeight="1" x14ac:dyDescent="0.2">
      <c r="A1283" s="109" t="s">
        <v>671</v>
      </c>
      <c r="B1283" s="87" t="s">
        <v>612</v>
      </c>
      <c r="C1283" s="87" t="s">
        <v>613</v>
      </c>
      <c r="D1283" s="110">
        <v>4100</v>
      </c>
      <c r="E1283" s="110"/>
      <c r="F1283" s="110">
        <f>SUM(D1283:E1283)</f>
        <v>4100</v>
      </c>
      <c r="G1283" s="92"/>
    </row>
    <row r="1284" spans="1:7" ht="13.15" customHeight="1" x14ac:dyDescent="0.2">
      <c r="A1284" s="100" t="s">
        <v>673</v>
      </c>
      <c r="B1284" s="101"/>
      <c r="C1284" s="101" t="s">
        <v>674</v>
      </c>
      <c r="D1284" s="102">
        <f t="shared" ref="D1284:F1286" si="147">+D1285</f>
        <v>2560</v>
      </c>
      <c r="E1284" s="102">
        <f t="shared" si="147"/>
        <v>1440</v>
      </c>
      <c r="F1284" s="102">
        <f t="shared" si="147"/>
        <v>4000</v>
      </c>
      <c r="G1284" s="92"/>
    </row>
    <row r="1285" spans="1:7" ht="13.15" customHeight="1" x14ac:dyDescent="0.2">
      <c r="A1285" s="103" t="s">
        <v>673</v>
      </c>
      <c r="B1285" s="104" t="s">
        <v>166</v>
      </c>
      <c r="C1285" s="104" t="s">
        <v>167</v>
      </c>
      <c r="D1285" s="105">
        <f t="shared" si="147"/>
        <v>2560</v>
      </c>
      <c r="E1285" s="105">
        <f t="shared" si="147"/>
        <v>1440</v>
      </c>
      <c r="F1285" s="105">
        <f t="shared" si="147"/>
        <v>4000</v>
      </c>
      <c r="G1285" s="92"/>
    </row>
    <row r="1286" spans="1:7" ht="13.15" customHeight="1" x14ac:dyDescent="0.2">
      <c r="A1286" s="106" t="s">
        <v>673</v>
      </c>
      <c r="B1286" s="107" t="s">
        <v>168</v>
      </c>
      <c r="C1286" s="107" t="s">
        <v>169</v>
      </c>
      <c r="D1286" s="108">
        <f t="shared" si="147"/>
        <v>2560</v>
      </c>
      <c r="E1286" s="108">
        <f t="shared" si="147"/>
        <v>1440</v>
      </c>
      <c r="F1286" s="108">
        <f t="shared" si="147"/>
        <v>4000</v>
      </c>
      <c r="G1286" s="92"/>
    </row>
    <row r="1287" spans="1:7" ht="13.15" customHeight="1" x14ac:dyDescent="0.2">
      <c r="A1287" s="109" t="s">
        <v>673</v>
      </c>
      <c r="B1287" s="87" t="s">
        <v>612</v>
      </c>
      <c r="C1287" s="87" t="s">
        <v>613</v>
      </c>
      <c r="D1287" s="110">
        <v>2560</v>
      </c>
      <c r="E1287" s="110">
        <v>1440</v>
      </c>
      <c r="F1287" s="110">
        <f>SUM(D1287:E1287)</f>
        <v>4000</v>
      </c>
      <c r="G1287" s="118" t="s">
        <v>675</v>
      </c>
    </row>
    <row r="1288" spans="1:7" ht="13.15" customHeight="1" x14ac:dyDescent="0.2">
      <c r="A1288" s="100" t="s">
        <v>676</v>
      </c>
      <c r="B1288" s="101"/>
      <c r="C1288" s="101" t="s">
        <v>677</v>
      </c>
      <c r="D1288" s="102">
        <f>+D1289</f>
        <v>4000</v>
      </c>
      <c r="E1288" s="102">
        <v>-4000</v>
      </c>
      <c r="F1288" s="102">
        <f>+F1289</f>
        <v>0</v>
      </c>
      <c r="G1288" s="118" t="s">
        <v>678</v>
      </c>
    </row>
    <row r="1289" spans="1:7" ht="13.15" customHeight="1" x14ac:dyDescent="0.2">
      <c r="A1289" s="103" t="s">
        <v>676</v>
      </c>
      <c r="B1289" s="104" t="s">
        <v>133</v>
      </c>
      <c r="C1289" s="104" t="s">
        <v>134</v>
      </c>
      <c r="D1289" s="105">
        <f>+D1290+D1294</f>
        <v>4000</v>
      </c>
      <c r="E1289" s="105">
        <f>+E1290+E1294</f>
        <v>-4000</v>
      </c>
      <c r="F1289" s="105">
        <f>+F1290+F1294</f>
        <v>0</v>
      </c>
      <c r="G1289" s="92"/>
    </row>
    <row r="1290" spans="1:7" ht="13.15" customHeight="1" x14ac:dyDescent="0.2">
      <c r="A1290" s="106" t="s">
        <v>676</v>
      </c>
      <c r="B1290" s="107" t="s">
        <v>135</v>
      </c>
      <c r="C1290" s="107" t="s">
        <v>31</v>
      </c>
      <c r="D1290" s="108">
        <f>SUM(D1291:D1293)</f>
        <v>4000</v>
      </c>
      <c r="E1290" s="108">
        <f>SUM(E1291:E1293)</f>
        <v>-4000</v>
      </c>
      <c r="F1290" s="108">
        <f>SUM(F1291:F1293)</f>
        <v>0</v>
      </c>
      <c r="G1290" s="92"/>
    </row>
    <row r="1291" spans="1:7" ht="13.15" customHeight="1" x14ac:dyDescent="0.2">
      <c r="A1291" s="109" t="s">
        <v>676</v>
      </c>
      <c r="B1291" s="87" t="s">
        <v>138</v>
      </c>
      <c r="C1291" s="87" t="s">
        <v>139</v>
      </c>
      <c r="D1291" s="110">
        <v>0</v>
      </c>
      <c r="E1291" s="110"/>
      <c r="F1291" s="110">
        <f>SUM(D1291:E1291)</f>
        <v>0</v>
      </c>
      <c r="G1291" s="92"/>
    </row>
    <row r="1292" spans="1:7" ht="13.15" customHeight="1" x14ac:dyDescent="0.2">
      <c r="A1292" s="109" t="s">
        <v>676</v>
      </c>
      <c r="B1292" s="87" t="s">
        <v>174</v>
      </c>
      <c r="C1292" s="87" t="s">
        <v>175</v>
      </c>
      <c r="D1292" s="110">
        <v>3000</v>
      </c>
      <c r="E1292" s="110">
        <v>-3000</v>
      </c>
      <c r="F1292" s="110">
        <f>SUM(D1292:E1292)</f>
        <v>0</v>
      </c>
      <c r="G1292" s="92"/>
    </row>
    <row r="1293" spans="1:7" ht="13.15" customHeight="1" x14ac:dyDescent="0.2">
      <c r="A1293" s="109" t="s">
        <v>676</v>
      </c>
      <c r="B1293" s="87" t="s">
        <v>142</v>
      </c>
      <c r="C1293" s="87" t="s">
        <v>143</v>
      </c>
      <c r="D1293" s="110">
        <v>1000</v>
      </c>
      <c r="E1293" s="110">
        <v>-1000</v>
      </c>
      <c r="F1293" s="110">
        <f>SUM(D1293:E1293)</f>
        <v>0</v>
      </c>
      <c r="G1293" s="92" t="s">
        <v>144</v>
      </c>
    </row>
    <row r="1294" spans="1:7" ht="13.15" customHeight="1" x14ac:dyDescent="0.2">
      <c r="A1294" s="106" t="s">
        <v>676</v>
      </c>
      <c r="B1294" s="107" t="s">
        <v>145</v>
      </c>
      <c r="C1294" s="107" t="s">
        <v>32</v>
      </c>
      <c r="D1294" s="108">
        <f>SUM(D1295:D1297)</f>
        <v>0</v>
      </c>
      <c r="E1294" s="108">
        <f>SUM(E1295:E1297)</f>
        <v>0</v>
      </c>
      <c r="F1294" s="108">
        <f>SUM(F1295:F1297)</f>
        <v>0</v>
      </c>
      <c r="G1294" s="92"/>
    </row>
    <row r="1295" spans="1:7" ht="13.15" customHeight="1" x14ac:dyDescent="0.2">
      <c r="A1295" s="109" t="s">
        <v>676</v>
      </c>
      <c r="B1295" s="87" t="s">
        <v>146</v>
      </c>
      <c r="C1295" s="87" t="s">
        <v>147</v>
      </c>
      <c r="D1295" s="110">
        <v>0</v>
      </c>
      <c r="E1295" s="110"/>
      <c r="F1295" s="110">
        <f>SUM(D1295:E1295)</f>
        <v>0</v>
      </c>
      <c r="G1295" s="92"/>
    </row>
    <row r="1296" spans="1:7" ht="13.15" customHeight="1" x14ac:dyDescent="0.2">
      <c r="A1296" s="109" t="s">
        <v>676</v>
      </c>
      <c r="B1296" s="87" t="s">
        <v>605</v>
      </c>
      <c r="C1296" s="87" t="s">
        <v>606</v>
      </c>
      <c r="D1296" s="110">
        <v>0</v>
      </c>
      <c r="E1296" s="110"/>
      <c r="F1296" s="110">
        <f>SUM(D1296:E1296)</f>
        <v>0</v>
      </c>
      <c r="G1296" s="92"/>
    </row>
    <row r="1297" spans="1:7" ht="13.15" customHeight="1" x14ac:dyDescent="0.2">
      <c r="A1297" s="109" t="s">
        <v>676</v>
      </c>
      <c r="B1297" s="87" t="s">
        <v>199</v>
      </c>
      <c r="C1297" s="87" t="s">
        <v>200</v>
      </c>
      <c r="D1297" s="110">
        <v>0</v>
      </c>
      <c r="E1297" s="110"/>
      <c r="F1297" s="110">
        <f>SUM(D1297:E1297)</f>
        <v>0</v>
      </c>
      <c r="G1297" s="92"/>
    </row>
    <row r="1298" spans="1:7" ht="13.15" customHeight="1" x14ac:dyDescent="0.2">
      <c r="A1298" s="100" t="s">
        <v>679</v>
      </c>
      <c r="B1298" s="101"/>
      <c r="C1298" s="101" t="s">
        <v>680</v>
      </c>
      <c r="D1298" s="102">
        <f>+D1299+D1302+D1305</f>
        <v>170388</v>
      </c>
      <c r="E1298" s="102">
        <f t="shared" ref="E1298:F1298" si="148">+E1299+E1302+E1305</f>
        <v>37880</v>
      </c>
      <c r="F1298" s="102">
        <f t="shared" si="148"/>
        <v>208268</v>
      </c>
      <c r="G1298" s="92"/>
    </row>
    <row r="1299" spans="1:7" ht="13.15" customHeight="1" x14ac:dyDescent="0.2">
      <c r="A1299" s="103" t="s">
        <v>679</v>
      </c>
      <c r="B1299" s="104" t="s">
        <v>127</v>
      </c>
      <c r="C1299" s="104" t="s">
        <v>128</v>
      </c>
      <c r="D1299" s="105">
        <f t="shared" ref="D1299:F1300" si="149">+D1300</f>
        <v>0</v>
      </c>
      <c r="E1299" s="105">
        <f t="shared" si="149"/>
        <v>19000</v>
      </c>
      <c r="F1299" s="105">
        <f t="shared" si="149"/>
        <v>19000</v>
      </c>
      <c r="G1299" s="92"/>
    </row>
    <row r="1300" spans="1:7" ht="13.15" customHeight="1" x14ac:dyDescent="0.2">
      <c r="A1300" s="106" t="s">
        <v>679</v>
      </c>
      <c r="B1300" s="107" t="s">
        <v>129</v>
      </c>
      <c r="C1300" s="107" t="s">
        <v>130</v>
      </c>
      <c r="D1300" s="108">
        <f t="shared" si="149"/>
        <v>0</v>
      </c>
      <c r="E1300" s="108">
        <f t="shared" si="149"/>
        <v>19000</v>
      </c>
      <c r="F1300" s="108">
        <f t="shared" si="149"/>
        <v>19000</v>
      </c>
      <c r="G1300" s="92"/>
    </row>
    <row r="1301" spans="1:7" ht="13.15" customHeight="1" x14ac:dyDescent="0.2">
      <c r="A1301" s="109" t="s">
        <v>679</v>
      </c>
      <c r="B1301" s="87" t="s">
        <v>163</v>
      </c>
      <c r="C1301" s="87" t="s">
        <v>164</v>
      </c>
      <c r="D1301" s="110">
        <v>0</v>
      </c>
      <c r="E1301" s="110">
        <v>19000</v>
      </c>
      <c r="F1301" s="110">
        <f>SUM(D1301:E1301)</f>
        <v>19000</v>
      </c>
      <c r="G1301" s="92"/>
    </row>
    <row r="1302" spans="1:7" ht="13.15" customHeight="1" x14ac:dyDescent="0.2">
      <c r="A1302" s="103" t="s">
        <v>679</v>
      </c>
      <c r="B1302" s="104" t="s">
        <v>166</v>
      </c>
      <c r="C1302" s="104" t="s">
        <v>167</v>
      </c>
      <c r="D1302" s="105">
        <f t="shared" ref="D1302:F1303" si="150">+D1303</f>
        <v>0</v>
      </c>
      <c r="E1302" s="105">
        <f t="shared" si="150"/>
        <v>0</v>
      </c>
      <c r="F1302" s="105">
        <f t="shared" si="150"/>
        <v>0</v>
      </c>
      <c r="G1302" s="92"/>
    </row>
    <row r="1303" spans="1:7" ht="13.15" customHeight="1" x14ac:dyDescent="0.2">
      <c r="A1303" s="106" t="s">
        <v>679</v>
      </c>
      <c r="B1303" s="107" t="s">
        <v>168</v>
      </c>
      <c r="C1303" s="107" t="s">
        <v>169</v>
      </c>
      <c r="D1303" s="108">
        <f t="shared" si="150"/>
        <v>0</v>
      </c>
      <c r="E1303" s="108">
        <f t="shared" si="150"/>
        <v>0</v>
      </c>
      <c r="F1303" s="108">
        <f t="shared" si="150"/>
        <v>0</v>
      </c>
      <c r="G1303" s="92"/>
    </row>
    <row r="1304" spans="1:7" ht="13.15" customHeight="1" x14ac:dyDescent="0.2">
      <c r="A1304" s="109" t="s">
        <v>679</v>
      </c>
      <c r="B1304" s="87" t="s">
        <v>612</v>
      </c>
      <c r="C1304" s="87" t="s">
        <v>613</v>
      </c>
      <c r="D1304" s="110">
        <v>0</v>
      </c>
      <c r="E1304" s="110"/>
      <c r="F1304" s="110">
        <f>SUM(D1304:E1304)</f>
        <v>0</v>
      </c>
      <c r="G1304" s="92"/>
    </row>
    <row r="1305" spans="1:7" ht="13.15" customHeight="1" x14ac:dyDescent="0.2">
      <c r="A1305" s="103" t="s">
        <v>679</v>
      </c>
      <c r="B1305" s="104" t="s">
        <v>133</v>
      </c>
      <c r="C1305" s="104" t="s">
        <v>134</v>
      </c>
      <c r="D1305" s="105">
        <f>+D1306+D1310</f>
        <v>170388</v>
      </c>
      <c r="E1305" s="105">
        <f>+E1306+E1310</f>
        <v>18880</v>
      </c>
      <c r="F1305" s="105">
        <f>+F1306+F1310</f>
        <v>189268</v>
      </c>
      <c r="G1305" s="92"/>
    </row>
    <row r="1306" spans="1:7" ht="13.15" customHeight="1" x14ac:dyDescent="0.2">
      <c r="A1306" s="106" t="s">
        <v>679</v>
      </c>
      <c r="B1306" s="107" t="s">
        <v>135</v>
      </c>
      <c r="C1306" s="107" t="s">
        <v>31</v>
      </c>
      <c r="D1306" s="108">
        <f>SUM(D1307:D1309)</f>
        <v>121418</v>
      </c>
      <c r="E1306" s="108">
        <f>SUM(E1307:E1309)</f>
        <v>18880</v>
      </c>
      <c r="F1306" s="108">
        <f>SUM(F1307:F1309)</f>
        <v>140298</v>
      </c>
      <c r="G1306" s="92"/>
    </row>
    <row r="1307" spans="1:7" ht="13.15" customHeight="1" x14ac:dyDescent="0.2">
      <c r="A1307" s="109" t="s">
        <v>679</v>
      </c>
      <c r="B1307" s="87" t="s">
        <v>138</v>
      </c>
      <c r="C1307" s="87" t="s">
        <v>139</v>
      </c>
      <c r="D1307" s="110">
        <v>91086</v>
      </c>
      <c r="E1307" s="110"/>
      <c r="F1307" s="110">
        <f>SUM(D1307:E1307)</f>
        <v>91086</v>
      </c>
      <c r="G1307" s="92"/>
    </row>
    <row r="1308" spans="1:7" ht="13.15" customHeight="1" x14ac:dyDescent="0.2">
      <c r="A1308" s="109" t="s">
        <v>679</v>
      </c>
      <c r="B1308" s="87" t="s">
        <v>174</v>
      </c>
      <c r="C1308" s="87" t="s">
        <v>175</v>
      </c>
      <c r="D1308" s="110"/>
      <c r="E1308" s="110">
        <f>11100+3000</f>
        <v>14100</v>
      </c>
      <c r="F1308" s="110">
        <f>SUM(D1308:E1308)</f>
        <v>14100</v>
      </c>
      <c r="G1308" s="118" t="s">
        <v>681</v>
      </c>
    </row>
    <row r="1309" spans="1:7" ht="13.15" customHeight="1" x14ac:dyDescent="0.2">
      <c r="A1309" s="109" t="s">
        <v>679</v>
      </c>
      <c r="B1309" s="87" t="s">
        <v>142</v>
      </c>
      <c r="C1309" s="87" t="s">
        <v>143</v>
      </c>
      <c r="D1309" s="110">
        <v>30332</v>
      </c>
      <c r="E1309" s="110">
        <f>3780+1000</f>
        <v>4780</v>
      </c>
      <c r="F1309" s="110">
        <f>SUM(D1309:E1309)</f>
        <v>35112</v>
      </c>
      <c r="G1309" s="92" t="s">
        <v>144</v>
      </c>
    </row>
    <row r="1310" spans="1:7" ht="13.15" customHeight="1" x14ac:dyDescent="0.2">
      <c r="A1310" s="106" t="s">
        <v>679</v>
      </c>
      <c r="B1310" s="107" t="s">
        <v>145</v>
      </c>
      <c r="C1310" s="107" t="s">
        <v>32</v>
      </c>
      <c r="D1310" s="108">
        <f>SUM(D1311:D1329)-D1314</f>
        <v>48970</v>
      </c>
      <c r="E1310" s="108">
        <f>SUM(E1311:E1329)-E1314</f>
        <v>0</v>
      </c>
      <c r="F1310" s="108">
        <f>SUM(F1311:F1329)-F1314</f>
        <v>48970</v>
      </c>
      <c r="G1310" s="92"/>
    </row>
    <row r="1311" spans="1:7" ht="13.15" customHeight="1" x14ac:dyDescent="0.2">
      <c r="A1311" s="109" t="s">
        <v>679</v>
      </c>
      <c r="B1311" s="87" t="s">
        <v>146</v>
      </c>
      <c r="C1311" s="87" t="s">
        <v>147</v>
      </c>
      <c r="D1311" s="110">
        <v>2000</v>
      </c>
      <c r="E1311" s="110"/>
      <c r="F1311" s="110">
        <f>SUM(D1311:E1311)</f>
        <v>2000</v>
      </c>
      <c r="G1311" s="92"/>
    </row>
    <row r="1312" spans="1:7" ht="13.15" customHeight="1" x14ac:dyDescent="0.2">
      <c r="A1312" s="109" t="s">
        <v>679</v>
      </c>
      <c r="B1312" s="87" t="s">
        <v>148</v>
      </c>
      <c r="C1312" s="87" t="s">
        <v>149</v>
      </c>
      <c r="D1312" s="110">
        <v>150</v>
      </c>
      <c r="E1312" s="110"/>
      <c r="F1312" s="110">
        <f>SUM(D1312:E1312)</f>
        <v>150</v>
      </c>
      <c r="G1312" s="92"/>
    </row>
    <row r="1313" spans="1:7" ht="13.15" customHeight="1" x14ac:dyDescent="0.2">
      <c r="A1313" s="109" t="s">
        <v>679</v>
      </c>
      <c r="B1313" s="87" t="s">
        <v>150</v>
      </c>
      <c r="C1313" s="87" t="s">
        <v>151</v>
      </c>
      <c r="D1313" s="110">
        <v>6000</v>
      </c>
      <c r="E1313" s="110"/>
      <c r="F1313" s="110">
        <f>SUM(D1313:E1313)</f>
        <v>6000</v>
      </c>
      <c r="G1313" s="92"/>
    </row>
    <row r="1314" spans="1:7" ht="13.15" customHeight="1" x14ac:dyDescent="0.2">
      <c r="A1314" s="111" t="s">
        <v>679</v>
      </c>
      <c r="B1314" s="112" t="s">
        <v>176</v>
      </c>
      <c r="C1314" s="112" t="s">
        <v>177</v>
      </c>
      <c r="D1314" s="113">
        <f>SUM(D1315:D1322)</f>
        <v>26220</v>
      </c>
      <c r="E1314" s="113">
        <f>SUM(E1315:E1322)</f>
        <v>0</v>
      </c>
      <c r="F1314" s="113">
        <f>SUM(F1315:F1322)</f>
        <v>26220</v>
      </c>
      <c r="G1314" s="92"/>
    </row>
    <row r="1315" spans="1:7" ht="13.15" customHeight="1" x14ac:dyDescent="0.2">
      <c r="A1315" s="114" t="s">
        <v>679</v>
      </c>
      <c r="B1315" s="115" t="s">
        <v>178</v>
      </c>
      <c r="C1315" s="115" t="s">
        <v>179</v>
      </c>
      <c r="D1315" s="116">
        <v>10000</v>
      </c>
      <c r="E1315" s="116"/>
      <c r="F1315" s="116">
        <f t="shared" ref="F1315:F1329" si="151">SUM(D1315:E1315)</f>
        <v>10000</v>
      </c>
      <c r="G1315" s="92"/>
    </row>
    <row r="1316" spans="1:7" ht="13.15" customHeight="1" x14ac:dyDescent="0.2">
      <c r="A1316" s="114" t="s">
        <v>679</v>
      </c>
      <c r="B1316" s="115" t="s">
        <v>180</v>
      </c>
      <c r="C1316" s="115" t="s">
        <v>75</v>
      </c>
      <c r="D1316" s="116">
        <v>5500</v>
      </c>
      <c r="E1316" s="116"/>
      <c r="F1316" s="116">
        <f t="shared" si="151"/>
        <v>5500</v>
      </c>
      <c r="G1316" s="92"/>
    </row>
    <row r="1317" spans="1:7" ht="13.15" customHeight="1" x14ac:dyDescent="0.2">
      <c r="A1317" s="114" t="s">
        <v>679</v>
      </c>
      <c r="B1317" s="115" t="s">
        <v>181</v>
      </c>
      <c r="C1317" s="115" t="s">
        <v>182</v>
      </c>
      <c r="D1317" s="116">
        <v>3000</v>
      </c>
      <c r="E1317" s="116"/>
      <c r="F1317" s="116">
        <f t="shared" si="151"/>
        <v>3000</v>
      </c>
      <c r="G1317" s="92"/>
    </row>
    <row r="1318" spans="1:7" ht="13.15" customHeight="1" x14ac:dyDescent="0.2">
      <c r="A1318" s="114" t="s">
        <v>679</v>
      </c>
      <c r="B1318" s="115" t="s">
        <v>183</v>
      </c>
      <c r="C1318" s="115" t="s">
        <v>184</v>
      </c>
      <c r="D1318" s="116">
        <v>2500</v>
      </c>
      <c r="E1318" s="116"/>
      <c r="F1318" s="116">
        <f t="shared" si="151"/>
        <v>2500</v>
      </c>
      <c r="G1318" s="92"/>
    </row>
    <row r="1319" spans="1:7" ht="13.15" customHeight="1" x14ac:dyDescent="0.2">
      <c r="A1319" s="114" t="s">
        <v>679</v>
      </c>
      <c r="B1319" s="115" t="s">
        <v>185</v>
      </c>
      <c r="C1319" s="115" t="s">
        <v>186</v>
      </c>
      <c r="D1319" s="116">
        <v>3300</v>
      </c>
      <c r="E1319" s="116"/>
      <c r="F1319" s="116">
        <f t="shared" si="151"/>
        <v>3300</v>
      </c>
      <c r="G1319" s="92"/>
    </row>
    <row r="1320" spans="1:7" ht="13.15" customHeight="1" x14ac:dyDescent="0.2">
      <c r="A1320" s="114" t="s">
        <v>679</v>
      </c>
      <c r="B1320" s="115" t="s">
        <v>187</v>
      </c>
      <c r="C1320" s="115" t="s">
        <v>188</v>
      </c>
      <c r="D1320" s="116">
        <v>1000</v>
      </c>
      <c r="E1320" s="116"/>
      <c r="F1320" s="116">
        <f t="shared" si="151"/>
        <v>1000</v>
      </c>
      <c r="G1320" s="92"/>
    </row>
    <row r="1321" spans="1:7" ht="13.15" customHeight="1" x14ac:dyDescent="0.2">
      <c r="A1321" s="114" t="s">
        <v>679</v>
      </c>
      <c r="B1321" s="115" t="s">
        <v>189</v>
      </c>
      <c r="C1321" s="115" t="s">
        <v>190</v>
      </c>
      <c r="D1321" s="116">
        <v>600</v>
      </c>
      <c r="E1321" s="172"/>
      <c r="F1321" s="116">
        <f t="shared" si="151"/>
        <v>600</v>
      </c>
      <c r="G1321" s="119"/>
    </row>
    <row r="1322" spans="1:7" ht="13.15" customHeight="1" x14ac:dyDescent="0.2">
      <c r="A1322" s="114" t="s">
        <v>679</v>
      </c>
      <c r="B1322" s="115" t="s">
        <v>191</v>
      </c>
      <c r="C1322" s="115" t="s">
        <v>192</v>
      </c>
      <c r="D1322" s="116">
        <v>320</v>
      </c>
      <c r="E1322" s="116"/>
      <c r="F1322" s="116">
        <f t="shared" si="151"/>
        <v>320</v>
      </c>
      <c r="G1322" s="92"/>
    </row>
    <row r="1323" spans="1:7" ht="13.15" customHeight="1" x14ac:dyDescent="0.2">
      <c r="A1323" s="109" t="s">
        <v>679</v>
      </c>
      <c r="B1323" s="87" t="s">
        <v>152</v>
      </c>
      <c r="C1323" s="87" t="s">
        <v>153</v>
      </c>
      <c r="D1323" s="110">
        <v>13000</v>
      </c>
      <c r="E1323" s="110"/>
      <c r="F1323" s="110">
        <f t="shared" si="151"/>
        <v>13000</v>
      </c>
      <c r="G1323" s="92"/>
    </row>
    <row r="1324" spans="1:7" ht="13.15" customHeight="1" x14ac:dyDescent="0.2">
      <c r="A1324" s="109" t="s">
        <v>679</v>
      </c>
      <c r="B1324" s="87" t="s">
        <v>154</v>
      </c>
      <c r="C1324" s="87" t="s">
        <v>155</v>
      </c>
      <c r="D1324" s="110">
        <v>500</v>
      </c>
      <c r="E1324" s="110"/>
      <c r="F1324" s="110">
        <f t="shared" si="151"/>
        <v>500</v>
      </c>
      <c r="G1324" s="92"/>
    </row>
    <row r="1325" spans="1:7" ht="13.15" customHeight="1" x14ac:dyDescent="0.2">
      <c r="A1325" s="109" t="s">
        <v>679</v>
      </c>
      <c r="B1325" s="87" t="s">
        <v>156</v>
      </c>
      <c r="C1325" s="87" t="s">
        <v>157</v>
      </c>
      <c r="D1325" s="110">
        <v>300</v>
      </c>
      <c r="E1325" s="110"/>
      <c r="F1325" s="110">
        <f t="shared" si="151"/>
        <v>300</v>
      </c>
      <c r="G1325" s="92"/>
    </row>
    <row r="1326" spans="1:7" ht="13.15" customHeight="1" x14ac:dyDescent="0.2">
      <c r="A1326" s="109" t="s">
        <v>679</v>
      </c>
      <c r="B1326" s="87" t="s">
        <v>158</v>
      </c>
      <c r="C1326" s="87" t="s">
        <v>159</v>
      </c>
      <c r="D1326" s="110">
        <v>200</v>
      </c>
      <c r="E1326" s="110"/>
      <c r="F1326" s="110">
        <f t="shared" si="151"/>
        <v>200</v>
      </c>
      <c r="G1326" s="92"/>
    </row>
    <row r="1327" spans="1:7" ht="13.15" customHeight="1" x14ac:dyDescent="0.2">
      <c r="A1327" s="109" t="s">
        <v>679</v>
      </c>
      <c r="B1327" s="87" t="s">
        <v>381</v>
      </c>
      <c r="C1327" s="87" t="s">
        <v>382</v>
      </c>
      <c r="D1327" s="110">
        <v>100</v>
      </c>
      <c r="E1327" s="110"/>
      <c r="F1327" s="110">
        <f t="shared" si="151"/>
        <v>100</v>
      </c>
      <c r="G1327" s="92"/>
    </row>
    <row r="1328" spans="1:7" ht="13.15" customHeight="1" x14ac:dyDescent="0.2">
      <c r="A1328" s="109" t="s">
        <v>679</v>
      </c>
      <c r="B1328" s="87" t="s">
        <v>195</v>
      </c>
      <c r="C1328" s="87" t="s">
        <v>196</v>
      </c>
      <c r="D1328" s="110">
        <v>500</v>
      </c>
      <c r="E1328" s="110"/>
      <c r="F1328" s="110">
        <f t="shared" si="151"/>
        <v>500</v>
      </c>
      <c r="G1328" s="92"/>
    </row>
    <row r="1329" spans="1:7" ht="13.15" customHeight="1" x14ac:dyDescent="0.2">
      <c r="A1329" s="109" t="s">
        <v>679</v>
      </c>
      <c r="B1329" s="87" t="s">
        <v>197</v>
      </c>
      <c r="C1329" s="87" t="s">
        <v>198</v>
      </c>
      <c r="D1329" s="110">
        <v>0</v>
      </c>
      <c r="E1329" s="110"/>
      <c r="F1329" s="110">
        <f t="shared" si="151"/>
        <v>0</v>
      </c>
      <c r="G1329" s="92"/>
    </row>
    <row r="1330" spans="1:7" ht="13.15" customHeight="1" x14ac:dyDescent="0.2">
      <c r="A1330" s="100" t="s">
        <v>682</v>
      </c>
      <c r="B1330" s="101"/>
      <c r="C1330" s="101" t="s">
        <v>683</v>
      </c>
      <c r="D1330" s="102">
        <f>+D1331+D1345</f>
        <v>130677</v>
      </c>
      <c r="E1330" s="102">
        <f>+E1331+E1345</f>
        <v>18369</v>
      </c>
      <c r="F1330" s="102">
        <f>+F1331+F1345</f>
        <v>149046</v>
      </c>
      <c r="G1330" s="92"/>
    </row>
    <row r="1331" spans="1:7" ht="13.15" customHeight="1" x14ac:dyDescent="0.2">
      <c r="A1331" s="103" t="s">
        <v>682</v>
      </c>
      <c r="B1331" s="104" t="s">
        <v>133</v>
      </c>
      <c r="C1331" s="104" t="s">
        <v>134</v>
      </c>
      <c r="D1331" s="105">
        <f>+D1332+D1335</f>
        <v>130677</v>
      </c>
      <c r="E1331" s="105">
        <f>+E1332+E1335</f>
        <v>18369</v>
      </c>
      <c r="F1331" s="105">
        <f>+F1332+F1335</f>
        <v>149046</v>
      </c>
      <c r="G1331" s="92"/>
    </row>
    <row r="1332" spans="1:7" ht="13.15" customHeight="1" x14ac:dyDescent="0.2">
      <c r="A1332" s="106" t="s">
        <v>682</v>
      </c>
      <c r="B1332" s="107" t="s">
        <v>135</v>
      </c>
      <c r="C1332" s="107" t="s">
        <v>31</v>
      </c>
      <c r="D1332" s="108">
        <f>SUM(D1333:D1334)</f>
        <v>122677</v>
      </c>
      <c r="E1332" s="108">
        <f>SUM(E1333:E1334)</f>
        <v>3369</v>
      </c>
      <c r="F1332" s="108">
        <f>SUM(F1333:F1334)</f>
        <v>126046</v>
      </c>
      <c r="G1332" s="89"/>
    </row>
    <row r="1333" spans="1:7" ht="13.15" customHeight="1" x14ac:dyDescent="0.2">
      <c r="A1333" s="109" t="s">
        <v>682</v>
      </c>
      <c r="B1333" s="87" t="s">
        <v>172</v>
      </c>
      <c r="C1333" s="87" t="s">
        <v>173</v>
      </c>
      <c r="D1333" s="110">
        <v>92031</v>
      </c>
      <c r="E1333" s="110">
        <v>2174</v>
      </c>
      <c r="F1333" s="110">
        <f>SUM(D1333:E1333)</f>
        <v>94205</v>
      </c>
      <c r="G1333" s="92" t="s">
        <v>684</v>
      </c>
    </row>
    <row r="1334" spans="1:7" ht="13.15" customHeight="1" x14ac:dyDescent="0.2">
      <c r="A1334" s="109" t="s">
        <v>682</v>
      </c>
      <c r="B1334" s="87" t="s">
        <v>142</v>
      </c>
      <c r="C1334" s="87" t="s">
        <v>143</v>
      </c>
      <c r="D1334" s="110">
        <v>30646</v>
      </c>
      <c r="E1334" s="110">
        <v>1195</v>
      </c>
      <c r="F1334" s="110">
        <f>SUM(D1334:E1334)</f>
        <v>31841</v>
      </c>
      <c r="G1334" s="92" t="s">
        <v>144</v>
      </c>
    </row>
    <row r="1335" spans="1:7" ht="13.15" customHeight="1" x14ac:dyDescent="0.2">
      <c r="A1335" s="106" t="s">
        <v>682</v>
      </c>
      <c r="B1335" s="107" t="s">
        <v>145</v>
      </c>
      <c r="C1335" s="107" t="s">
        <v>32</v>
      </c>
      <c r="D1335" s="108">
        <f>SUM(D1336:D1344)</f>
        <v>8000</v>
      </c>
      <c r="E1335" s="108">
        <f>SUM(E1336:E1344)</f>
        <v>15000</v>
      </c>
      <c r="F1335" s="108">
        <f>SUM(F1336:F1344)</f>
        <v>23000</v>
      </c>
      <c r="G1335" s="92"/>
    </row>
    <row r="1336" spans="1:7" ht="13.15" customHeight="1" x14ac:dyDescent="0.2">
      <c r="A1336" s="109" t="s">
        <v>682</v>
      </c>
      <c r="B1336" s="87" t="s">
        <v>146</v>
      </c>
      <c r="C1336" s="87" t="s">
        <v>147</v>
      </c>
      <c r="D1336" s="110">
        <v>1000</v>
      </c>
      <c r="E1336" s="110"/>
      <c r="F1336" s="110">
        <f t="shared" ref="F1336:F1344" si="152">SUM(D1336:E1336)</f>
        <v>1000</v>
      </c>
      <c r="G1336" s="92"/>
    </row>
    <row r="1337" spans="1:7" ht="13.15" customHeight="1" x14ac:dyDescent="0.2">
      <c r="A1337" s="109" t="s">
        <v>682</v>
      </c>
      <c r="B1337" s="87" t="s">
        <v>148</v>
      </c>
      <c r="C1337" s="87" t="s">
        <v>149</v>
      </c>
      <c r="D1337" s="110">
        <v>500</v>
      </c>
      <c r="E1337" s="110"/>
      <c r="F1337" s="110">
        <f t="shared" si="152"/>
        <v>500</v>
      </c>
      <c r="G1337" s="92"/>
    </row>
    <row r="1338" spans="1:7" ht="13.15" customHeight="1" x14ac:dyDescent="0.2">
      <c r="A1338" s="109" t="s">
        <v>682</v>
      </c>
      <c r="B1338" s="87" t="s">
        <v>150</v>
      </c>
      <c r="C1338" s="87" t="s">
        <v>151</v>
      </c>
      <c r="D1338" s="110">
        <v>2000</v>
      </c>
      <c r="E1338" s="110"/>
      <c r="F1338" s="110">
        <f t="shared" si="152"/>
        <v>2000</v>
      </c>
      <c r="G1338" s="92"/>
    </row>
    <row r="1339" spans="1:7" ht="13.15" customHeight="1" x14ac:dyDescent="0.2">
      <c r="A1339" s="109" t="s">
        <v>682</v>
      </c>
      <c r="B1339" s="87" t="s">
        <v>154</v>
      </c>
      <c r="C1339" s="87" t="s">
        <v>155</v>
      </c>
      <c r="D1339" s="110">
        <v>2500</v>
      </c>
      <c r="E1339" s="110"/>
      <c r="F1339" s="110">
        <f t="shared" si="152"/>
        <v>2500</v>
      </c>
      <c r="G1339" s="92"/>
    </row>
    <row r="1340" spans="1:7" ht="13.15" customHeight="1" x14ac:dyDescent="0.2">
      <c r="A1340" s="109" t="s">
        <v>682</v>
      </c>
      <c r="B1340" s="87" t="s">
        <v>158</v>
      </c>
      <c r="C1340" s="87" t="s">
        <v>159</v>
      </c>
      <c r="D1340" s="110">
        <v>0</v>
      </c>
      <c r="E1340" s="110"/>
      <c r="F1340" s="110">
        <f t="shared" si="152"/>
        <v>0</v>
      </c>
      <c r="G1340" s="92"/>
    </row>
    <row r="1341" spans="1:7" ht="13.15" customHeight="1" x14ac:dyDescent="0.2">
      <c r="A1341" s="109" t="s">
        <v>682</v>
      </c>
      <c r="B1341" s="87" t="s">
        <v>381</v>
      </c>
      <c r="C1341" s="87" t="s">
        <v>382</v>
      </c>
      <c r="D1341" s="110">
        <v>500</v>
      </c>
      <c r="E1341" s="110"/>
      <c r="F1341" s="110">
        <f t="shared" si="152"/>
        <v>500</v>
      </c>
      <c r="G1341" s="92"/>
    </row>
    <row r="1342" spans="1:7" ht="13.15" customHeight="1" x14ac:dyDescent="0.2">
      <c r="A1342" s="109" t="s">
        <v>682</v>
      </c>
      <c r="B1342" s="87" t="s">
        <v>195</v>
      </c>
      <c r="C1342" s="87" t="s">
        <v>196</v>
      </c>
      <c r="D1342" s="110">
        <v>500</v>
      </c>
      <c r="E1342" s="110">
        <f>15000</f>
        <v>15000</v>
      </c>
      <c r="F1342" s="110">
        <f t="shared" si="152"/>
        <v>15500</v>
      </c>
      <c r="G1342" s="92" t="s">
        <v>685</v>
      </c>
    </row>
    <row r="1343" spans="1:7" ht="13.15" customHeight="1" x14ac:dyDescent="0.2">
      <c r="A1343" s="109" t="s">
        <v>682</v>
      </c>
      <c r="B1343" s="87" t="s">
        <v>605</v>
      </c>
      <c r="C1343" s="87" t="s">
        <v>606</v>
      </c>
      <c r="D1343" s="110">
        <v>1000</v>
      </c>
      <c r="E1343" s="110"/>
      <c r="F1343" s="110">
        <f t="shared" si="152"/>
        <v>1000</v>
      </c>
      <c r="G1343" s="92"/>
    </row>
    <row r="1344" spans="1:7" ht="13.15" customHeight="1" x14ac:dyDescent="0.2">
      <c r="A1344" s="109" t="s">
        <v>682</v>
      </c>
      <c r="B1344" s="87" t="s">
        <v>199</v>
      </c>
      <c r="C1344" s="87" t="s">
        <v>200</v>
      </c>
      <c r="D1344" s="110">
        <v>0</v>
      </c>
      <c r="E1344" s="110"/>
      <c r="F1344" s="110">
        <f t="shared" si="152"/>
        <v>0</v>
      </c>
      <c r="G1344" s="92"/>
    </row>
    <row r="1345" spans="1:7" ht="13.15" customHeight="1" x14ac:dyDescent="0.2">
      <c r="A1345" s="103" t="s">
        <v>682</v>
      </c>
      <c r="B1345" s="104" t="s">
        <v>201</v>
      </c>
      <c r="C1345" s="104" t="s">
        <v>33</v>
      </c>
      <c r="D1345" s="105">
        <f t="shared" ref="D1345:F1346" si="153">+D1346</f>
        <v>0</v>
      </c>
      <c r="E1345" s="105">
        <f t="shared" si="153"/>
        <v>0</v>
      </c>
      <c r="F1345" s="105">
        <f t="shared" si="153"/>
        <v>0</v>
      </c>
      <c r="G1345" s="92"/>
    </row>
    <row r="1346" spans="1:7" ht="13.15" customHeight="1" x14ac:dyDescent="0.2">
      <c r="A1346" s="106" t="s">
        <v>682</v>
      </c>
      <c r="B1346" s="107" t="s">
        <v>202</v>
      </c>
      <c r="C1346" s="107" t="s">
        <v>203</v>
      </c>
      <c r="D1346" s="108">
        <f t="shared" si="153"/>
        <v>0</v>
      </c>
      <c r="E1346" s="108">
        <f t="shared" si="153"/>
        <v>0</v>
      </c>
      <c r="F1346" s="108">
        <f t="shared" si="153"/>
        <v>0</v>
      </c>
      <c r="G1346" s="92"/>
    </row>
    <row r="1347" spans="1:7" ht="13.15" customHeight="1" x14ac:dyDescent="0.2">
      <c r="A1347" s="109" t="s">
        <v>682</v>
      </c>
      <c r="B1347" s="87" t="s">
        <v>204</v>
      </c>
      <c r="C1347" s="87" t="s">
        <v>205</v>
      </c>
      <c r="D1347" s="110">
        <v>0</v>
      </c>
      <c r="E1347" s="110"/>
      <c r="F1347" s="110">
        <f>SUM(D1347:E1347)</f>
        <v>0</v>
      </c>
      <c r="G1347" s="92"/>
    </row>
    <row r="1348" spans="1:7" ht="13.15" customHeight="1" x14ac:dyDescent="0.2">
      <c r="A1348" s="100" t="s">
        <v>686</v>
      </c>
      <c r="B1348" s="101"/>
      <c r="C1348" s="101" t="s">
        <v>687</v>
      </c>
      <c r="D1348" s="102">
        <f t="shared" ref="D1348:F1350" si="154">+D1349</f>
        <v>4500</v>
      </c>
      <c r="E1348" s="102">
        <f t="shared" si="154"/>
        <v>0</v>
      </c>
      <c r="F1348" s="102">
        <f t="shared" si="154"/>
        <v>4500</v>
      </c>
      <c r="G1348" s="92"/>
    </row>
    <row r="1349" spans="1:7" ht="13.15" customHeight="1" x14ac:dyDescent="0.2">
      <c r="A1349" s="103" t="s">
        <v>686</v>
      </c>
      <c r="B1349" s="104" t="s">
        <v>133</v>
      </c>
      <c r="C1349" s="104" t="s">
        <v>134</v>
      </c>
      <c r="D1349" s="105">
        <f t="shared" si="154"/>
        <v>4500</v>
      </c>
      <c r="E1349" s="105">
        <f t="shared" si="154"/>
        <v>0</v>
      </c>
      <c r="F1349" s="105">
        <f t="shared" si="154"/>
        <v>4500</v>
      </c>
      <c r="G1349" s="92"/>
    </row>
    <row r="1350" spans="1:7" ht="13.15" customHeight="1" x14ac:dyDescent="0.2">
      <c r="A1350" s="106" t="s">
        <v>686</v>
      </c>
      <c r="B1350" s="107" t="s">
        <v>145</v>
      </c>
      <c r="C1350" s="107" t="s">
        <v>32</v>
      </c>
      <c r="D1350" s="108">
        <f t="shared" si="154"/>
        <v>4500</v>
      </c>
      <c r="E1350" s="108">
        <f t="shared" si="154"/>
        <v>0</v>
      </c>
      <c r="F1350" s="108">
        <f t="shared" si="154"/>
        <v>4500</v>
      </c>
      <c r="G1350" s="92"/>
    </row>
    <row r="1351" spans="1:7" ht="13.15" customHeight="1" x14ac:dyDescent="0.2">
      <c r="A1351" s="109" t="s">
        <v>686</v>
      </c>
      <c r="B1351" s="87" t="s">
        <v>605</v>
      </c>
      <c r="C1351" s="87" t="s">
        <v>606</v>
      </c>
      <c r="D1351" s="110">
        <v>4500</v>
      </c>
      <c r="E1351" s="110"/>
      <c r="F1351" s="110">
        <f>SUM(D1351:E1351)</f>
        <v>4500</v>
      </c>
      <c r="G1351" s="92"/>
    </row>
  </sheetData>
  <phoneticPr fontId="10" type="noConversion"/>
  <pageMargins left="0.74803149606299213" right="0.74803149606299213" top="0.48" bottom="0.41" header="0.19" footer="0.17"/>
  <pageSetup paperSize="9" orientation="landscape" r:id="rId1"/>
  <headerFooter alignWithMargins="0"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ySplit="3" topLeftCell="A4" activePane="bottomLeft" state="frozen"/>
      <selection pane="bottomLeft" activeCell="B3" sqref="B3"/>
    </sheetView>
  </sheetViews>
  <sheetFormatPr defaultRowHeight="14.45" customHeight="1" x14ac:dyDescent="0.2"/>
  <cols>
    <col min="1" max="1" width="1.28515625" customWidth="1"/>
    <col min="3" max="3" width="33.7109375" customWidth="1"/>
    <col min="4" max="4" width="10.140625" bestFit="1" customWidth="1"/>
    <col min="5" max="5" width="10.140625" customWidth="1"/>
    <col min="6" max="6" width="10.140625" bestFit="1" customWidth="1"/>
    <col min="7" max="7" width="28.5703125" customWidth="1"/>
  </cols>
  <sheetData>
    <row r="1" spans="1:8" ht="14.45" hidden="1" customHeight="1" x14ac:dyDescent="0.2">
      <c r="B1" s="173"/>
      <c r="C1" s="173" t="s">
        <v>688</v>
      </c>
      <c r="D1" s="88">
        <f>+D2+D4</f>
        <v>17671241</v>
      </c>
      <c r="E1" s="88">
        <f>+E2+E4</f>
        <v>2868601.7899999996</v>
      </c>
      <c r="F1" s="88">
        <f>+F2+F4</f>
        <v>20539842.789999999</v>
      </c>
      <c r="G1" s="174"/>
      <c r="H1" s="175"/>
    </row>
    <row r="2" spans="1:8" ht="14.45" hidden="1" customHeight="1" x14ac:dyDescent="0.2">
      <c r="B2" s="173"/>
      <c r="C2" s="173" t="s">
        <v>689</v>
      </c>
      <c r="D2" s="88">
        <f>+D8+D12+D104+D146+D154</f>
        <v>17019926</v>
      </c>
      <c r="E2" s="88">
        <f>+E8+E12+E104+E146+E154</f>
        <v>870070.14999999991</v>
      </c>
      <c r="F2" s="88">
        <f>+F8+F12+F104+F146+F154</f>
        <v>17889996.149999999</v>
      </c>
      <c r="G2" s="176"/>
    </row>
    <row r="3" spans="1:8" ht="45.6" customHeight="1" x14ac:dyDescent="0.2">
      <c r="A3" s="177"/>
      <c r="B3" s="178" t="s">
        <v>690</v>
      </c>
      <c r="C3" s="178" t="s">
        <v>121</v>
      </c>
      <c r="D3" s="179" t="s">
        <v>691</v>
      </c>
      <c r="E3" s="179" t="s">
        <v>996</v>
      </c>
      <c r="F3" s="179" t="s">
        <v>692</v>
      </c>
      <c r="G3" s="180"/>
      <c r="H3" s="181"/>
    </row>
    <row r="4" spans="1:8" ht="14.45" customHeight="1" x14ac:dyDescent="0.2">
      <c r="B4" s="182" t="s">
        <v>693</v>
      </c>
      <c r="C4" s="182" t="s">
        <v>694</v>
      </c>
      <c r="D4" s="203">
        <f>650080+1235</f>
        <v>651315</v>
      </c>
      <c r="E4" s="203">
        <f>1934759.25+645594.08+35197.44+148978.03+599.22+33386.05+53517+E5-D4</f>
        <v>1998531.6399999997</v>
      </c>
      <c r="F4" s="203">
        <f>+E4+D4</f>
        <v>2649846.6399999997</v>
      </c>
      <c r="G4" s="183"/>
      <c r="H4" s="175"/>
    </row>
    <row r="5" spans="1:8" ht="14.45" customHeight="1" x14ac:dyDescent="0.2">
      <c r="B5" s="184">
        <v>10010</v>
      </c>
      <c r="C5" s="185" t="s">
        <v>695</v>
      </c>
      <c r="E5" s="155">
        <f>-'[1]Suunatud raha'!E1</f>
        <v>-202184.43</v>
      </c>
      <c r="G5" s="186"/>
      <c r="H5" s="187"/>
    </row>
    <row r="6" spans="1:8" ht="14.45" customHeight="1" x14ac:dyDescent="0.2">
      <c r="B6" s="182" t="s">
        <v>358</v>
      </c>
      <c r="C6" s="182" t="s">
        <v>696</v>
      </c>
      <c r="D6" s="153">
        <f>+D7</f>
        <v>0</v>
      </c>
      <c r="E6" s="153">
        <f>+D7</f>
        <v>0</v>
      </c>
      <c r="F6" s="153">
        <v>0</v>
      </c>
      <c r="G6" s="186"/>
      <c r="H6" s="187"/>
    </row>
    <row r="7" spans="1:8" ht="14.45" customHeight="1" x14ac:dyDescent="0.2">
      <c r="B7" s="185" t="s">
        <v>697</v>
      </c>
      <c r="C7" s="185" t="s">
        <v>698</v>
      </c>
      <c r="D7" s="155">
        <v>0</v>
      </c>
      <c r="E7" s="155">
        <v>0</v>
      </c>
      <c r="F7" s="155">
        <f>SUM(D7:E7)</f>
        <v>0</v>
      </c>
      <c r="G7" s="186"/>
      <c r="H7" s="187"/>
    </row>
    <row r="8" spans="1:8" ht="14.45" customHeight="1" x14ac:dyDescent="0.2">
      <c r="B8" s="182" t="s">
        <v>699</v>
      </c>
      <c r="C8" s="182" t="s">
        <v>700</v>
      </c>
      <c r="D8" s="153">
        <f>SUM(D9:D11)</f>
        <v>10244348</v>
      </c>
      <c r="E8" s="153">
        <f>SUM(E9:E11)</f>
        <v>0</v>
      </c>
      <c r="F8" s="153">
        <f>SUM(F9:F11)</f>
        <v>10244348</v>
      </c>
      <c r="G8" s="186"/>
      <c r="H8" s="187"/>
    </row>
    <row r="9" spans="1:8" ht="14.45" customHeight="1" x14ac:dyDescent="0.2">
      <c r="B9" s="188" t="s">
        <v>701</v>
      </c>
      <c r="C9" s="188" t="s">
        <v>3</v>
      </c>
      <c r="D9" s="189">
        <v>10071048</v>
      </c>
      <c r="E9" s="189">
        <v>0</v>
      </c>
      <c r="F9" s="189">
        <f>SUM(D9:E9)</f>
        <v>10071048</v>
      </c>
      <c r="G9" s="186"/>
      <c r="H9" s="187"/>
    </row>
    <row r="10" spans="1:8" ht="14.45" customHeight="1" x14ac:dyDescent="0.2">
      <c r="B10" s="188" t="s">
        <v>702</v>
      </c>
      <c r="C10" s="188" t="s">
        <v>4</v>
      </c>
      <c r="D10" s="189">
        <v>170300</v>
      </c>
      <c r="E10" s="189">
        <v>0</v>
      </c>
      <c r="F10" s="189">
        <f>SUM(D10:E10)</f>
        <v>170300</v>
      </c>
      <c r="G10" s="190"/>
      <c r="H10" s="191"/>
    </row>
    <row r="11" spans="1:8" ht="14.45" customHeight="1" x14ac:dyDescent="0.2">
      <c r="B11" s="188" t="s">
        <v>703</v>
      </c>
      <c r="C11" s="188" t="s">
        <v>7</v>
      </c>
      <c r="D11" s="189">
        <v>3000</v>
      </c>
      <c r="E11" s="189">
        <v>0</v>
      </c>
      <c r="F11" s="189">
        <f>SUM(D11:E11)</f>
        <v>3000</v>
      </c>
      <c r="G11" s="186"/>
      <c r="H11" s="187"/>
    </row>
    <row r="12" spans="1:8" ht="14.45" customHeight="1" x14ac:dyDescent="0.2">
      <c r="B12" s="182" t="s">
        <v>704</v>
      </c>
      <c r="C12" s="182" t="s">
        <v>705</v>
      </c>
      <c r="D12" s="153">
        <f>+D13+D14+D25+D54+D75+D87+D88+D89+D90+D101</f>
        <v>1179793</v>
      </c>
      <c r="E12" s="153">
        <f>+E13+E14+E25+E54+E75+E87+E88+E89+E90+E101</f>
        <v>61829.22</v>
      </c>
      <c r="F12" s="153">
        <f>+F13+F14+F25+F54+F75+F87+F88+F89+F90+F101</f>
        <v>1241622.22</v>
      </c>
      <c r="G12" s="186"/>
      <c r="H12" s="187"/>
    </row>
    <row r="13" spans="1:8" ht="14.45" customHeight="1" x14ac:dyDescent="0.2">
      <c r="B13" s="185" t="s">
        <v>706</v>
      </c>
      <c r="C13" s="185" t="s">
        <v>209</v>
      </c>
      <c r="D13" s="155">
        <v>10000</v>
      </c>
      <c r="E13" s="155">
        <v>0</v>
      </c>
      <c r="F13" s="155">
        <f>SUM(D13:E13)</f>
        <v>10000</v>
      </c>
      <c r="G13" s="190"/>
      <c r="H13" s="191"/>
    </row>
    <row r="14" spans="1:8" ht="14.45" customHeight="1" x14ac:dyDescent="0.2">
      <c r="B14" s="192" t="s">
        <v>707</v>
      </c>
      <c r="C14" s="192" t="s">
        <v>708</v>
      </c>
      <c r="D14" s="193">
        <f>SUM(D15:D24)-D22</f>
        <v>636700</v>
      </c>
      <c r="E14" s="193">
        <f>SUM(E15:E24)-E22</f>
        <v>3175</v>
      </c>
      <c r="F14" s="193">
        <f>SUM(F15:F24)-F22</f>
        <v>639875</v>
      </c>
      <c r="G14" s="186"/>
      <c r="H14" s="187"/>
    </row>
    <row r="15" spans="1:8" ht="14.45" customHeight="1" x14ac:dyDescent="0.2">
      <c r="B15" s="185" t="s">
        <v>709</v>
      </c>
      <c r="C15" s="185" t="s">
        <v>710</v>
      </c>
      <c r="D15" s="155">
        <v>22000</v>
      </c>
      <c r="E15" s="155">
        <v>0</v>
      </c>
      <c r="F15" s="155">
        <f t="shared" ref="F15:F21" si="0">SUM(D15:E15)</f>
        <v>22000</v>
      </c>
      <c r="G15" s="176"/>
    </row>
    <row r="16" spans="1:8" ht="14.45" customHeight="1" x14ac:dyDescent="0.2">
      <c r="B16" s="185" t="s">
        <v>711</v>
      </c>
      <c r="C16" s="185" t="s">
        <v>712</v>
      </c>
      <c r="D16" s="155">
        <v>360000</v>
      </c>
      <c r="E16" s="155">
        <v>0</v>
      </c>
      <c r="F16" s="155">
        <f t="shared" si="0"/>
        <v>360000</v>
      </c>
      <c r="G16" s="176"/>
    </row>
    <row r="17" spans="2:7" ht="14.45" customHeight="1" x14ac:dyDescent="0.2">
      <c r="B17" s="185" t="s">
        <v>713</v>
      </c>
      <c r="C17" s="185" t="s">
        <v>714</v>
      </c>
      <c r="D17" s="155">
        <v>244000</v>
      </c>
      <c r="E17" s="155">
        <v>0</v>
      </c>
      <c r="F17" s="155">
        <f t="shared" si="0"/>
        <v>244000</v>
      </c>
      <c r="G17" s="92"/>
    </row>
    <row r="18" spans="2:7" ht="14.45" customHeight="1" x14ac:dyDescent="0.2">
      <c r="B18" s="185" t="s">
        <v>715</v>
      </c>
      <c r="C18" s="185" t="s">
        <v>716</v>
      </c>
      <c r="D18" s="155">
        <v>10000</v>
      </c>
      <c r="E18" s="155">
        <v>0</v>
      </c>
      <c r="F18" s="155">
        <f t="shared" si="0"/>
        <v>10000</v>
      </c>
      <c r="G18" s="92"/>
    </row>
    <row r="19" spans="2:7" ht="54" customHeight="1" x14ac:dyDescent="0.2">
      <c r="B19" s="185" t="s">
        <v>717</v>
      </c>
      <c r="C19" s="185" t="s">
        <v>718</v>
      </c>
      <c r="D19" s="155">
        <v>0</v>
      </c>
      <c r="E19" s="155">
        <f>410+1370+1395</f>
        <v>3175</v>
      </c>
      <c r="F19" s="155">
        <f t="shared" si="0"/>
        <v>3175</v>
      </c>
      <c r="G19" s="156" t="s">
        <v>719</v>
      </c>
    </row>
    <row r="20" spans="2:7" ht="14.45" customHeight="1" x14ac:dyDescent="0.2">
      <c r="B20" s="185" t="s">
        <v>720</v>
      </c>
      <c r="C20" s="185" t="s">
        <v>721</v>
      </c>
      <c r="D20" s="155">
        <v>0</v>
      </c>
      <c r="E20" s="155">
        <v>0</v>
      </c>
      <c r="F20" s="155">
        <f t="shared" si="0"/>
        <v>0</v>
      </c>
      <c r="G20" s="92"/>
    </row>
    <row r="21" spans="2:7" ht="14.45" customHeight="1" x14ac:dyDescent="0.2">
      <c r="B21" s="185" t="s">
        <v>722</v>
      </c>
      <c r="C21" s="185" t="s">
        <v>723</v>
      </c>
      <c r="D21" s="155">
        <v>0</v>
      </c>
      <c r="E21" s="155">
        <v>0</v>
      </c>
      <c r="F21" s="155">
        <f t="shared" si="0"/>
        <v>0</v>
      </c>
      <c r="G21" s="92"/>
    </row>
    <row r="22" spans="2:7" ht="14.45" customHeight="1" x14ac:dyDescent="0.2">
      <c r="B22" s="194" t="s">
        <v>724</v>
      </c>
      <c r="C22" s="194" t="s">
        <v>725</v>
      </c>
      <c r="D22" s="195">
        <f>SUM(D23:D24)</f>
        <v>700</v>
      </c>
      <c r="E22" s="195">
        <f>SUM(E23:E24)</f>
        <v>0</v>
      </c>
      <c r="F22" s="195">
        <f>SUM(F23:F24)</f>
        <v>700</v>
      </c>
      <c r="G22" s="92"/>
    </row>
    <row r="23" spans="2:7" ht="14.45" customHeight="1" x14ac:dyDescent="0.2">
      <c r="B23" s="185" t="s">
        <v>726</v>
      </c>
      <c r="C23" s="185" t="s">
        <v>727</v>
      </c>
      <c r="D23" s="155">
        <v>700</v>
      </c>
      <c r="E23" s="155">
        <v>0</v>
      </c>
      <c r="F23" s="155">
        <f>SUM(D23:E23)</f>
        <v>700</v>
      </c>
      <c r="G23" s="92"/>
    </row>
    <row r="24" spans="2:7" ht="14.45" customHeight="1" x14ac:dyDescent="0.2">
      <c r="B24" s="185" t="s">
        <v>728</v>
      </c>
      <c r="C24" s="185" t="s">
        <v>729</v>
      </c>
      <c r="D24" s="155">
        <v>0</v>
      </c>
      <c r="E24" s="155">
        <v>0</v>
      </c>
      <c r="F24" s="155">
        <f>SUM(D24:E24)</f>
        <v>0</v>
      </c>
      <c r="G24" s="92"/>
    </row>
    <row r="25" spans="2:7" ht="14.45" customHeight="1" x14ac:dyDescent="0.2">
      <c r="B25" s="192" t="s">
        <v>730</v>
      </c>
      <c r="C25" s="192" t="s">
        <v>731</v>
      </c>
      <c r="D25" s="193">
        <f>+D26+D39+D45+D52</f>
        <v>159039</v>
      </c>
      <c r="E25" s="193">
        <f>+E26+E39+E45+E52</f>
        <v>43720.22</v>
      </c>
      <c r="F25" s="193">
        <f>+F26+F39+F45+F52</f>
        <v>202759.22</v>
      </c>
      <c r="G25" s="92"/>
    </row>
    <row r="26" spans="2:7" ht="14.45" customHeight="1" x14ac:dyDescent="0.2">
      <c r="B26" s="194" t="s">
        <v>732</v>
      </c>
      <c r="C26" s="194" t="s">
        <v>733</v>
      </c>
      <c r="D26" s="195">
        <f>SUM(D27:D38)</f>
        <v>63288</v>
      </c>
      <c r="E26" s="195">
        <f>SUM(E27:E38)</f>
        <v>13224.08</v>
      </c>
      <c r="F26" s="195">
        <f>SUM(F27:F38)</f>
        <v>76512.08</v>
      </c>
      <c r="G26" s="92"/>
    </row>
    <row r="27" spans="2:7" ht="14.45" customHeight="1" x14ac:dyDescent="0.2">
      <c r="B27" s="185" t="s">
        <v>734</v>
      </c>
      <c r="C27" s="185" t="s">
        <v>735</v>
      </c>
      <c r="D27" s="155">
        <v>28026</v>
      </c>
      <c r="E27" s="155">
        <v>0</v>
      </c>
      <c r="F27" s="155">
        <f t="shared" ref="F27:F38" si="1">SUM(D27:E27)</f>
        <v>28026</v>
      </c>
      <c r="G27" s="92"/>
    </row>
    <row r="28" spans="2:7" ht="14.45" customHeight="1" x14ac:dyDescent="0.2">
      <c r="B28" s="185" t="s">
        <v>736</v>
      </c>
      <c r="C28" s="185" t="s">
        <v>737</v>
      </c>
      <c r="D28" s="155">
        <v>18414</v>
      </c>
      <c r="E28" s="155">
        <v>0</v>
      </c>
      <c r="F28" s="155">
        <f t="shared" si="1"/>
        <v>18414</v>
      </c>
      <c r="G28" s="92"/>
    </row>
    <row r="29" spans="2:7" ht="14.45" customHeight="1" x14ac:dyDescent="0.2">
      <c r="B29" s="185" t="s">
        <v>738</v>
      </c>
      <c r="C29" s="185" t="s">
        <v>739</v>
      </c>
      <c r="D29" s="155">
        <v>7182</v>
      </c>
      <c r="E29" s="155">
        <v>0</v>
      </c>
      <c r="F29" s="155">
        <f t="shared" si="1"/>
        <v>7182</v>
      </c>
      <c r="G29" s="92"/>
    </row>
    <row r="30" spans="2:7" ht="14.45" customHeight="1" x14ac:dyDescent="0.2">
      <c r="B30" s="185" t="s">
        <v>740</v>
      </c>
      <c r="C30" s="185" t="s">
        <v>741</v>
      </c>
      <c r="D30" s="155">
        <v>2970</v>
      </c>
      <c r="E30" s="155">
        <v>0</v>
      </c>
      <c r="F30" s="155">
        <f t="shared" si="1"/>
        <v>2970</v>
      </c>
      <c r="G30" s="92"/>
    </row>
    <row r="31" spans="2:7" ht="14.45" customHeight="1" x14ac:dyDescent="0.2">
      <c r="B31" s="185" t="s">
        <v>742</v>
      </c>
      <c r="C31" s="185" t="s">
        <v>743</v>
      </c>
      <c r="D31" s="155">
        <v>99</v>
      </c>
      <c r="E31" s="155">
        <v>0</v>
      </c>
      <c r="F31" s="155">
        <f t="shared" si="1"/>
        <v>99</v>
      </c>
      <c r="G31" s="92"/>
    </row>
    <row r="32" spans="2:7" ht="14.45" customHeight="1" x14ac:dyDescent="0.2">
      <c r="B32" s="185" t="s">
        <v>744</v>
      </c>
      <c r="C32" s="185" t="s">
        <v>745</v>
      </c>
      <c r="D32" s="155">
        <v>1350</v>
      </c>
      <c r="E32" s="155">
        <v>0</v>
      </c>
      <c r="F32" s="155">
        <f t="shared" si="1"/>
        <v>1350</v>
      </c>
      <c r="G32" s="92"/>
    </row>
    <row r="33" spans="2:8" ht="14.45" customHeight="1" x14ac:dyDescent="0.2">
      <c r="B33" s="185" t="s">
        <v>746</v>
      </c>
      <c r="C33" s="185" t="s">
        <v>747</v>
      </c>
      <c r="D33" s="155">
        <v>3069</v>
      </c>
      <c r="E33" s="155">
        <v>0</v>
      </c>
      <c r="F33" s="155">
        <f t="shared" si="1"/>
        <v>3069</v>
      </c>
      <c r="G33" s="92"/>
    </row>
    <row r="34" spans="2:8" ht="14.45" customHeight="1" x14ac:dyDescent="0.2">
      <c r="B34" s="185" t="s">
        <v>748</v>
      </c>
      <c r="C34" s="185" t="s">
        <v>749</v>
      </c>
      <c r="D34" s="155">
        <v>990</v>
      </c>
      <c r="E34" s="155">
        <v>0</v>
      </c>
      <c r="F34" s="155">
        <f t="shared" si="1"/>
        <v>990</v>
      </c>
      <c r="G34" s="92"/>
    </row>
    <row r="35" spans="2:8" ht="14.45" customHeight="1" x14ac:dyDescent="0.2">
      <c r="B35" s="185" t="s">
        <v>750</v>
      </c>
      <c r="C35" s="185" t="s">
        <v>751</v>
      </c>
      <c r="D35" s="155">
        <v>1188</v>
      </c>
      <c r="E35" s="155">
        <v>0</v>
      </c>
      <c r="F35" s="155">
        <f t="shared" si="1"/>
        <v>1188</v>
      </c>
      <c r="G35" s="92"/>
      <c r="H35" s="185"/>
    </row>
    <row r="36" spans="2:8" ht="44.45" customHeight="1" x14ac:dyDescent="0.2">
      <c r="B36" s="184">
        <v>32210011</v>
      </c>
      <c r="C36" s="185" t="s">
        <v>752</v>
      </c>
      <c r="D36" s="155">
        <v>0</v>
      </c>
      <c r="E36" s="155">
        <v>7780</v>
      </c>
      <c r="F36" s="155">
        <f t="shared" si="1"/>
        <v>7780</v>
      </c>
      <c r="G36" s="92" t="s">
        <v>753</v>
      </c>
      <c r="H36" s="185"/>
    </row>
    <row r="37" spans="2:8" ht="14.45" customHeight="1" x14ac:dyDescent="0.2">
      <c r="B37" s="185" t="s">
        <v>754</v>
      </c>
      <c r="C37" s="185" t="s">
        <v>755</v>
      </c>
      <c r="D37" s="155">
        <v>0</v>
      </c>
      <c r="E37" s="155">
        <v>0</v>
      </c>
      <c r="F37" s="155">
        <f t="shared" si="1"/>
        <v>0</v>
      </c>
      <c r="G37" s="92"/>
      <c r="H37" s="185"/>
    </row>
    <row r="38" spans="2:8" ht="55.15" customHeight="1" x14ac:dyDescent="0.2">
      <c r="B38" s="184">
        <v>32210013</v>
      </c>
      <c r="C38" s="185" t="s">
        <v>756</v>
      </c>
      <c r="D38" s="155">
        <v>0</v>
      </c>
      <c r="E38" s="155">
        <f>4795+649.08</f>
        <v>5444.08</v>
      </c>
      <c r="F38" s="155">
        <f t="shared" si="1"/>
        <v>5444.08</v>
      </c>
      <c r="G38" s="92" t="s">
        <v>757</v>
      </c>
      <c r="H38" s="185"/>
    </row>
    <row r="39" spans="2:8" ht="14.45" customHeight="1" x14ac:dyDescent="0.2">
      <c r="B39" s="194" t="s">
        <v>758</v>
      </c>
      <c r="C39" s="194" t="s">
        <v>759</v>
      </c>
      <c r="D39" s="195">
        <f>SUM(D40:D44)</f>
        <v>89851</v>
      </c>
      <c r="E39" s="195">
        <f>SUM(E40:E44)</f>
        <v>10496.14</v>
      </c>
      <c r="F39" s="195">
        <f>SUM(F40:F44)</f>
        <v>100347.14</v>
      </c>
      <c r="G39" s="92"/>
      <c r="H39" s="185"/>
    </row>
    <row r="40" spans="2:8" ht="14.45" customHeight="1" x14ac:dyDescent="0.2">
      <c r="B40" s="185" t="s">
        <v>760</v>
      </c>
      <c r="C40" s="185" t="s">
        <v>761</v>
      </c>
      <c r="D40" s="155">
        <v>0</v>
      </c>
      <c r="E40" s="155">
        <v>0</v>
      </c>
      <c r="F40" s="155">
        <f>SUM(D40:E40)</f>
        <v>0</v>
      </c>
      <c r="G40" s="92"/>
      <c r="H40" s="185"/>
    </row>
    <row r="41" spans="2:8" ht="27" customHeight="1" x14ac:dyDescent="0.2">
      <c r="B41" s="185" t="s">
        <v>762</v>
      </c>
      <c r="C41" s="185" t="s">
        <v>763</v>
      </c>
      <c r="D41" s="155">
        <v>4000</v>
      </c>
      <c r="E41" s="155">
        <v>521.14</v>
      </c>
      <c r="F41" s="155">
        <f>SUM(D41:E41)</f>
        <v>4521.1400000000003</v>
      </c>
      <c r="G41" s="92" t="s">
        <v>764</v>
      </c>
      <c r="H41" s="185"/>
    </row>
    <row r="42" spans="2:8" ht="14.45" customHeight="1" x14ac:dyDescent="0.2">
      <c r="B42" s="185" t="s">
        <v>765</v>
      </c>
      <c r="C42" s="185" t="s">
        <v>766</v>
      </c>
      <c r="D42" s="155">
        <v>700</v>
      </c>
      <c r="E42" s="155">
        <v>0</v>
      </c>
      <c r="F42" s="155">
        <f>SUM(D42:E42)</f>
        <v>700</v>
      </c>
      <c r="G42" s="92"/>
      <c r="H42" s="185"/>
    </row>
    <row r="43" spans="2:8" ht="34.15" customHeight="1" x14ac:dyDescent="0.2">
      <c r="B43" s="185" t="s">
        <v>767</v>
      </c>
      <c r="C43" s="185" t="s">
        <v>768</v>
      </c>
      <c r="D43" s="155">
        <v>85151</v>
      </c>
      <c r="E43" s="155">
        <f>95126-85151</f>
        <v>9975</v>
      </c>
      <c r="F43" s="155">
        <f>SUM(D43:E43)</f>
        <v>95126</v>
      </c>
      <c r="G43" s="92" t="s">
        <v>769</v>
      </c>
      <c r="H43" s="185"/>
    </row>
    <row r="44" spans="2:8" ht="14.45" customHeight="1" x14ac:dyDescent="0.2">
      <c r="B44" s="185" t="s">
        <v>770</v>
      </c>
      <c r="C44" s="185" t="s">
        <v>771</v>
      </c>
      <c r="D44" s="155">
        <v>0</v>
      </c>
      <c r="E44" s="155">
        <v>0</v>
      </c>
      <c r="F44" s="155">
        <f>SUM(D44:E44)</f>
        <v>0</v>
      </c>
      <c r="G44" s="92"/>
    </row>
    <row r="45" spans="2:8" ht="14.45" customHeight="1" x14ac:dyDescent="0.2">
      <c r="B45" s="194" t="s">
        <v>772</v>
      </c>
      <c r="C45" s="194" t="s">
        <v>773</v>
      </c>
      <c r="D45" s="195">
        <f>SUM(D46:D51)</f>
        <v>5000</v>
      </c>
      <c r="E45" s="195">
        <f>SUM(E46:E51)</f>
        <v>20000</v>
      </c>
      <c r="F45" s="195">
        <f>SUM(F46:F51)</f>
        <v>25000</v>
      </c>
      <c r="G45" s="92"/>
    </row>
    <row r="46" spans="2:8" ht="14.45" customHeight="1" x14ac:dyDescent="0.2">
      <c r="B46" s="185" t="s">
        <v>774</v>
      </c>
      <c r="C46" s="185" t="s">
        <v>775</v>
      </c>
      <c r="D46" s="155">
        <v>0</v>
      </c>
      <c r="E46" s="155">
        <v>12000</v>
      </c>
      <c r="F46" s="155">
        <f t="shared" ref="F46:F51" si="2">SUM(D46:E46)</f>
        <v>12000</v>
      </c>
      <c r="G46" s="92" t="s">
        <v>776</v>
      </c>
    </row>
    <row r="47" spans="2:8" ht="14.45" customHeight="1" x14ac:dyDescent="0.2">
      <c r="B47" s="185" t="s">
        <v>777</v>
      </c>
      <c r="C47" s="185" t="s">
        <v>778</v>
      </c>
      <c r="D47" s="155">
        <v>0</v>
      </c>
      <c r="E47" s="155">
        <v>0</v>
      </c>
      <c r="F47" s="155">
        <f t="shared" si="2"/>
        <v>0</v>
      </c>
      <c r="G47" s="92"/>
    </row>
    <row r="48" spans="2:8" ht="14.45" customHeight="1" x14ac:dyDescent="0.2">
      <c r="B48" s="185" t="s">
        <v>779</v>
      </c>
      <c r="C48" s="185" t="s">
        <v>780</v>
      </c>
      <c r="D48" s="155">
        <v>0</v>
      </c>
      <c r="E48" s="155">
        <v>0</v>
      </c>
      <c r="F48" s="155">
        <f t="shared" si="2"/>
        <v>0</v>
      </c>
      <c r="G48" s="92"/>
    </row>
    <row r="49" spans="2:7" ht="14.45" customHeight="1" x14ac:dyDescent="0.2">
      <c r="B49" s="185" t="s">
        <v>781</v>
      </c>
      <c r="C49" s="185" t="s">
        <v>782</v>
      </c>
      <c r="D49" s="155">
        <v>5000</v>
      </c>
      <c r="E49" s="155">
        <v>2000</v>
      </c>
      <c r="F49" s="155">
        <f t="shared" si="2"/>
        <v>7000</v>
      </c>
      <c r="G49" s="92" t="s">
        <v>783</v>
      </c>
    </row>
    <row r="50" spans="2:7" ht="14.45" customHeight="1" x14ac:dyDescent="0.2">
      <c r="B50" s="185" t="s">
        <v>784</v>
      </c>
      <c r="C50" s="185" t="s">
        <v>785</v>
      </c>
      <c r="D50" s="155">
        <v>0</v>
      </c>
      <c r="E50" s="155">
        <v>0</v>
      </c>
      <c r="F50" s="155">
        <f t="shared" si="2"/>
        <v>0</v>
      </c>
      <c r="G50" s="92"/>
    </row>
    <row r="51" spans="2:7" ht="34.15" customHeight="1" x14ac:dyDescent="0.2">
      <c r="B51" s="184">
        <v>32210507</v>
      </c>
      <c r="C51" s="185" t="s">
        <v>783</v>
      </c>
      <c r="D51" s="155">
        <v>0</v>
      </c>
      <c r="E51" s="155">
        <f>2000+1000+3000</f>
        <v>6000</v>
      </c>
      <c r="F51" s="155">
        <f t="shared" si="2"/>
        <v>6000</v>
      </c>
      <c r="G51" s="92" t="s">
        <v>786</v>
      </c>
    </row>
    <row r="52" spans="2:7" ht="14.45" customHeight="1" x14ac:dyDescent="0.2">
      <c r="B52" s="194" t="s">
        <v>787</v>
      </c>
      <c r="C52" s="194" t="s">
        <v>788</v>
      </c>
      <c r="D52" s="195">
        <f>SUM(D53)</f>
        <v>900</v>
      </c>
      <c r="E52" s="195">
        <f>SUM(E53)</f>
        <v>0</v>
      </c>
      <c r="F52" s="195">
        <f>SUM(F53)</f>
        <v>900</v>
      </c>
      <c r="G52" s="92"/>
    </row>
    <row r="53" spans="2:7" ht="14.45" customHeight="1" x14ac:dyDescent="0.2">
      <c r="B53" s="185" t="s">
        <v>789</v>
      </c>
      <c r="C53" s="185" t="s">
        <v>790</v>
      </c>
      <c r="D53" s="155">
        <v>900</v>
      </c>
      <c r="E53" s="155">
        <v>0</v>
      </c>
      <c r="F53" s="155">
        <f>SUM(D53:E53)</f>
        <v>900</v>
      </c>
      <c r="G53" s="92"/>
    </row>
    <row r="54" spans="2:7" ht="14.45" customHeight="1" x14ac:dyDescent="0.2">
      <c r="B54" s="192" t="s">
        <v>791</v>
      </c>
      <c r="C54" s="192" t="s">
        <v>792</v>
      </c>
      <c r="D54" s="193">
        <f>+D55+D63</f>
        <v>156354</v>
      </c>
      <c r="E54" s="193">
        <f>+E55+E63</f>
        <v>14934</v>
      </c>
      <c r="F54" s="193">
        <f>+F55+F63</f>
        <v>171288</v>
      </c>
      <c r="G54" s="92"/>
    </row>
    <row r="55" spans="2:7" ht="14.45" customHeight="1" x14ac:dyDescent="0.2">
      <c r="B55" s="194" t="s">
        <v>793</v>
      </c>
      <c r="C55" s="194" t="s">
        <v>794</v>
      </c>
      <c r="D55" s="195">
        <f>SUM(D56:D62)</f>
        <v>62174</v>
      </c>
      <c r="E55" s="195">
        <f>SUM(E56:E62)</f>
        <v>14934</v>
      </c>
      <c r="F55" s="195">
        <f>SUM(F56:F62)</f>
        <v>77108</v>
      </c>
      <c r="G55" s="92"/>
    </row>
    <row r="56" spans="2:7" ht="14.45" customHeight="1" x14ac:dyDescent="0.2">
      <c r="B56" s="185" t="s">
        <v>795</v>
      </c>
      <c r="C56" s="185" t="s">
        <v>796</v>
      </c>
      <c r="D56" s="155">
        <v>15000</v>
      </c>
      <c r="E56" s="155">
        <v>0</v>
      </c>
      <c r="F56" s="155">
        <f t="shared" ref="F56:F62" si="3">SUM(D56:E56)</f>
        <v>15000</v>
      </c>
      <c r="G56" s="92"/>
    </row>
    <row r="57" spans="2:7" ht="14.45" customHeight="1" x14ac:dyDescent="0.2">
      <c r="B57" s="185" t="s">
        <v>797</v>
      </c>
      <c r="C57" s="185" t="s">
        <v>798</v>
      </c>
      <c r="D57" s="155">
        <v>38610</v>
      </c>
      <c r="E57" s="155">
        <v>0</v>
      </c>
      <c r="F57" s="155">
        <f t="shared" si="3"/>
        <v>38610</v>
      </c>
      <c r="G57" s="92"/>
    </row>
    <row r="58" spans="2:7" ht="14.45" customHeight="1" x14ac:dyDescent="0.2">
      <c r="B58" s="185" t="s">
        <v>799</v>
      </c>
      <c r="C58" s="185" t="s">
        <v>800</v>
      </c>
      <c r="D58" s="155">
        <v>0</v>
      </c>
      <c r="E58" s="155">
        <v>0</v>
      </c>
      <c r="F58" s="155">
        <f t="shared" si="3"/>
        <v>0</v>
      </c>
      <c r="G58" s="92"/>
    </row>
    <row r="59" spans="2:7" ht="14.45" customHeight="1" x14ac:dyDescent="0.2">
      <c r="B59" s="185" t="s">
        <v>801</v>
      </c>
      <c r="C59" s="185" t="s">
        <v>802</v>
      </c>
      <c r="D59" s="155">
        <v>0</v>
      </c>
      <c r="E59" s="155">
        <v>0</v>
      </c>
      <c r="F59" s="155">
        <f t="shared" si="3"/>
        <v>0</v>
      </c>
      <c r="G59" s="92"/>
    </row>
    <row r="60" spans="2:7" ht="34.15" customHeight="1" x14ac:dyDescent="0.2">
      <c r="B60" s="185" t="s">
        <v>803</v>
      </c>
      <c r="C60" s="185" t="s">
        <v>804</v>
      </c>
      <c r="D60" s="155">
        <v>0</v>
      </c>
      <c r="E60" s="155">
        <v>14934</v>
      </c>
      <c r="F60" s="155">
        <f t="shared" si="3"/>
        <v>14934</v>
      </c>
      <c r="G60" s="92" t="s">
        <v>805</v>
      </c>
    </row>
    <row r="61" spans="2:7" ht="14.45" customHeight="1" x14ac:dyDescent="0.2">
      <c r="B61" s="185" t="s">
        <v>806</v>
      </c>
      <c r="C61" s="185" t="s">
        <v>807</v>
      </c>
      <c r="D61" s="155">
        <v>8564</v>
      </c>
      <c r="E61" s="155">
        <v>0</v>
      </c>
      <c r="F61" s="155">
        <f t="shared" si="3"/>
        <v>8564</v>
      </c>
      <c r="G61" s="92"/>
    </row>
    <row r="62" spans="2:7" ht="14.45" customHeight="1" x14ac:dyDescent="0.2">
      <c r="B62" s="185" t="s">
        <v>808</v>
      </c>
      <c r="C62" s="185" t="s">
        <v>809</v>
      </c>
      <c r="D62" s="155">
        <v>0</v>
      </c>
      <c r="E62" s="155">
        <v>0</v>
      </c>
      <c r="F62" s="155">
        <f t="shared" si="3"/>
        <v>0</v>
      </c>
      <c r="G62" s="92"/>
    </row>
    <row r="63" spans="2:7" ht="14.45" customHeight="1" x14ac:dyDescent="0.2">
      <c r="B63" s="194" t="s">
        <v>810</v>
      </c>
      <c r="C63" s="194" t="s">
        <v>811</v>
      </c>
      <c r="D63" s="195">
        <f>SUM(D64:D74)</f>
        <v>94180</v>
      </c>
      <c r="E63" s="195">
        <f>SUM(E64:E74)</f>
        <v>0</v>
      </c>
      <c r="F63" s="195">
        <f>SUM(F64:F74)</f>
        <v>94180</v>
      </c>
      <c r="G63" s="92"/>
    </row>
    <row r="64" spans="2:7" ht="14.45" customHeight="1" x14ac:dyDescent="0.2">
      <c r="B64" s="185" t="s">
        <v>812</v>
      </c>
      <c r="C64" s="185" t="s">
        <v>813</v>
      </c>
      <c r="D64" s="155">
        <v>9000</v>
      </c>
      <c r="E64" s="155">
        <v>0</v>
      </c>
      <c r="F64" s="155">
        <f t="shared" ref="F64:F74" si="4">SUM(D64:E64)</f>
        <v>9000</v>
      </c>
      <c r="G64" s="92"/>
    </row>
    <row r="65" spans="1:7" ht="14.45" customHeight="1" x14ac:dyDescent="0.2">
      <c r="B65" s="185" t="s">
        <v>814</v>
      </c>
      <c r="C65" s="185" t="s">
        <v>815</v>
      </c>
      <c r="D65" s="155">
        <v>60000</v>
      </c>
      <c r="E65" s="155">
        <v>0</v>
      </c>
      <c r="F65" s="155">
        <f t="shared" si="4"/>
        <v>60000</v>
      </c>
      <c r="G65" s="92"/>
    </row>
    <row r="66" spans="1:7" ht="14.45" customHeight="1" x14ac:dyDescent="0.2">
      <c r="B66" s="185" t="s">
        <v>816</v>
      </c>
      <c r="C66" s="185" t="s">
        <v>817</v>
      </c>
      <c r="D66" s="155">
        <v>4000</v>
      </c>
      <c r="E66" s="155">
        <v>0</v>
      </c>
      <c r="F66" s="155">
        <f t="shared" si="4"/>
        <v>4000</v>
      </c>
      <c r="G66" s="92"/>
    </row>
    <row r="67" spans="1:7" ht="14.45" customHeight="1" x14ac:dyDescent="0.2">
      <c r="B67" s="185" t="s">
        <v>818</v>
      </c>
      <c r="C67" s="185" t="s">
        <v>819</v>
      </c>
      <c r="D67" s="155">
        <v>4000</v>
      </c>
      <c r="E67" s="155">
        <v>0</v>
      </c>
      <c r="F67" s="155">
        <f t="shared" si="4"/>
        <v>4000</v>
      </c>
      <c r="G67" s="92"/>
    </row>
    <row r="68" spans="1:7" ht="14.45" customHeight="1" x14ac:dyDescent="0.2">
      <c r="B68" s="185" t="s">
        <v>820</v>
      </c>
      <c r="C68" s="185" t="s">
        <v>821</v>
      </c>
      <c r="D68" s="155">
        <v>17000</v>
      </c>
      <c r="E68" s="155">
        <v>0</v>
      </c>
      <c r="F68" s="155">
        <f t="shared" si="4"/>
        <v>17000</v>
      </c>
      <c r="G68" s="92"/>
    </row>
    <row r="69" spans="1:7" ht="14.45" customHeight="1" x14ac:dyDescent="0.2">
      <c r="B69" s="185" t="s">
        <v>822</v>
      </c>
      <c r="C69" s="185" t="s">
        <v>823</v>
      </c>
      <c r="D69" s="155">
        <v>0</v>
      </c>
      <c r="E69" s="155">
        <v>0</v>
      </c>
      <c r="F69" s="155">
        <f t="shared" si="4"/>
        <v>0</v>
      </c>
      <c r="G69" s="92"/>
    </row>
    <row r="70" spans="1:7" ht="14.45" customHeight="1" x14ac:dyDescent="0.2">
      <c r="B70" s="185" t="s">
        <v>824</v>
      </c>
      <c r="C70" s="185" t="s">
        <v>825</v>
      </c>
      <c r="D70" s="155">
        <v>0</v>
      </c>
      <c r="E70" s="155">
        <v>0</v>
      </c>
      <c r="F70" s="155">
        <f t="shared" si="4"/>
        <v>0</v>
      </c>
      <c r="G70" s="92"/>
    </row>
    <row r="71" spans="1:7" ht="14.45" customHeight="1" x14ac:dyDescent="0.2">
      <c r="B71" s="185" t="s">
        <v>826</v>
      </c>
      <c r="C71" s="185" t="s">
        <v>827</v>
      </c>
      <c r="D71" s="155">
        <v>0</v>
      </c>
      <c r="E71" s="155">
        <v>0</v>
      </c>
      <c r="F71" s="155">
        <f t="shared" si="4"/>
        <v>0</v>
      </c>
      <c r="G71" s="92"/>
    </row>
    <row r="72" spans="1:7" ht="14.45" customHeight="1" x14ac:dyDescent="0.2">
      <c r="B72" s="185" t="s">
        <v>828</v>
      </c>
      <c r="C72" s="185" t="s">
        <v>829</v>
      </c>
      <c r="D72" s="155">
        <v>180</v>
      </c>
      <c r="E72" s="155">
        <v>0</v>
      </c>
      <c r="F72" s="155">
        <f t="shared" si="4"/>
        <v>180</v>
      </c>
      <c r="G72" s="92"/>
    </row>
    <row r="73" spans="1:7" ht="14.45" customHeight="1" x14ac:dyDescent="0.2">
      <c r="B73" s="185" t="s">
        <v>830</v>
      </c>
      <c r="C73" s="185" t="s">
        <v>831</v>
      </c>
      <c r="D73" s="155">
        <v>0</v>
      </c>
      <c r="E73" s="155">
        <v>0</v>
      </c>
      <c r="F73" s="155">
        <f t="shared" si="4"/>
        <v>0</v>
      </c>
      <c r="G73" s="92"/>
    </row>
    <row r="74" spans="1:7" ht="14.45" customHeight="1" x14ac:dyDescent="0.2">
      <c r="B74" s="185" t="s">
        <v>832</v>
      </c>
      <c r="C74" s="185" t="s">
        <v>833</v>
      </c>
      <c r="D74" s="155">
        <v>0</v>
      </c>
      <c r="E74" s="155">
        <v>0</v>
      </c>
      <c r="F74" s="155">
        <f t="shared" si="4"/>
        <v>0</v>
      </c>
      <c r="G74" s="92"/>
    </row>
    <row r="75" spans="1:7" ht="14.45" customHeight="1" x14ac:dyDescent="0.2">
      <c r="A75" s="196"/>
      <c r="B75" s="192" t="s">
        <v>834</v>
      </c>
      <c r="C75" s="192" t="s">
        <v>835</v>
      </c>
      <c r="D75" s="193">
        <f>SUM(D76:D86)</f>
        <v>99800</v>
      </c>
      <c r="E75" s="193">
        <f>SUM(E76:E86)</f>
        <v>0</v>
      </c>
      <c r="F75" s="193">
        <f>SUM(F76:F86)</f>
        <v>99800</v>
      </c>
      <c r="G75" s="92"/>
    </row>
    <row r="76" spans="1:7" ht="14.45" customHeight="1" x14ac:dyDescent="0.2">
      <c r="B76" s="185" t="s">
        <v>836</v>
      </c>
      <c r="C76" s="185" t="s">
        <v>837</v>
      </c>
      <c r="D76" s="155">
        <v>21660</v>
      </c>
      <c r="E76" s="155">
        <v>0</v>
      </c>
      <c r="F76" s="155">
        <f t="shared" ref="F76:F97" si="5">SUM(D76:E76)</f>
        <v>21660</v>
      </c>
      <c r="G76" s="92"/>
    </row>
    <row r="77" spans="1:7" ht="14.45" customHeight="1" x14ac:dyDescent="0.2">
      <c r="B77" s="185" t="s">
        <v>838</v>
      </c>
      <c r="C77" s="185" t="s">
        <v>839</v>
      </c>
      <c r="D77" s="155">
        <v>1000</v>
      </c>
      <c r="E77" s="155">
        <v>0</v>
      </c>
      <c r="F77" s="155">
        <f t="shared" si="5"/>
        <v>1000</v>
      </c>
      <c r="G77" s="92"/>
    </row>
    <row r="78" spans="1:7" ht="14.45" customHeight="1" x14ac:dyDescent="0.2">
      <c r="B78" s="185" t="s">
        <v>840</v>
      </c>
      <c r="C78" s="185" t="s">
        <v>841</v>
      </c>
      <c r="D78" s="155">
        <v>16340</v>
      </c>
      <c r="E78" s="155">
        <v>0</v>
      </c>
      <c r="F78" s="155">
        <f t="shared" si="5"/>
        <v>16340</v>
      </c>
      <c r="G78" s="92"/>
    </row>
    <row r="79" spans="1:7" ht="14.45" customHeight="1" x14ac:dyDescent="0.2">
      <c r="B79" s="185" t="s">
        <v>842</v>
      </c>
      <c r="C79" s="185" t="s">
        <v>843</v>
      </c>
      <c r="D79" s="155">
        <v>0</v>
      </c>
      <c r="E79" s="155">
        <v>0</v>
      </c>
      <c r="F79" s="155">
        <f t="shared" si="5"/>
        <v>0</v>
      </c>
      <c r="G79" s="92"/>
    </row>
    <row r="80" spans="1:7" ht="14.45" customHeight="1" x14ac:dyDescent="0.2">
      <c r="B80" s="185" t="s">
        <v>844</v>
      </c>
      <c r="C80" s="185" t="s">
        <v>845</v>
      </c>
      <c r="D80" s="155">
        <v>0</v>
      </c>
      <c r="E80" s="155">
        <v>0</v>
      </c>
      <c r="F80" s="155">
        <f t="shared" si="5"/>
        <v>0</v>
      </c>
      <c r="G80" s="92"/>
    </row>
    <row r="81" spans="2:7" ht="14.45" customHeight="1" x14ac:dyDescent="0.2">
      <c r="B81" s="185" t="s">
        <v>846</v>
      </c>
      <c r="C81" s="185" t="s">
        <v>847</v>
      </c>
      <c r="D81" s="155">
        <v>1800</v>
      </c>
      <c r="E81" s="155">
        <v>0</v>
      </c>
      <c r="F81" s="155">
        <f t="shared" si="5"/>
        <v>1800</v>
      </c>
      <c r="G81" s="92"/>
    </row>
    <row r="82" spans="2:7" ht="14.45" customHeight="1" x14ac:dyDescent="0.2">
      <c r="B82" s="185" t="s">
        <v>848</v>
      </c>
      <c r="C82" s="185" t="s">
        <v>849</v>
      </c>
      <c r="D82" s="155">
        <v>9000</v>
      </c>
      <c r="E82" s="155">
        <v>0</v>
      </c>
      <c r="F82" s="155">
        <f t="shared" si="5"/>
        <v>9000</v>
      </c>
      <c r="G82" s="92"/>
    </row>
    <row r="83" spans="2:7" ht="14.45" customHeight="1" x14ac:dyDescent="0.2">
      <c r="B83" s="185" t="s">
        <v>850</v>
      </c>
      <c r="C83" s="185" t="s">
        <v>851</v>
      </c>
      <c r="D83" s="155">
        <v>0</v>
      </c>
      <c r="E83" s="155">
        <v>0</v>
      </c>
      <c r="F83" s="155">
        <f t="shared" si="5"/>
        <v>0</v>
      </c>
      <c r="G83" s="92"/>
    </row>
    <row r="84" spans="2:7" ht="14.45" customHeight="1" x14ac:dyDescent="0.2">
      <c r="B84" s="185" t="s">
        <v>852</v>
      </c>
      <c r="C84" s="185" t="s">
        <v>677</v>
      </c>
      <c r="D84" s="155">
        <v>50000</v>
      </c>
      <c r="E84" s="155">
        <v>0</v>
      </c>
      <c r="F84" s="155">
        <f t="shared" si="5"/>
        <v>50000</v>
      </c>
      <c r="G84" s="92"/>
    </row>
    <row r="85" spans="2:7" ht="14.45" customHeight="1" x14ac:dyDescent="0.2">
      <c r="B85" s="185" t="s">
        <v>853</v>
      </c>
      <c r="C85" s="185" t="s">
        <v>854</v>
      </c>
      <c r="D85" s="155">
        <v>0</v>
      </c>
      <c r="E85" s="155">
        <v>0</v>
      </c>
      <c r="F85" s="155">
        <f t="shared" si="5"/>
        <v>0</v>
      </c>
      <c r="G85" s="92"/>
    </row>
    <row r="86" spans="2:7" ht="14.45" customHeight="1" x14ac:dyDescent="0.2">
      <c r="B86" s="185" t="s">
        <v>855</v>
      </c>
      <c r="C86" s="185" t="s">
        <v>856</v>
      </c>
      <c r="D86" s="155">
        <v>0</v>
      </c>
      <c r="E86" s="155">
        <v>0</v>
      </c>
      <c r="F86" s="155">
        <f t="shared" si="5"/>
        <v>0</v>
      </c>
      <c r="G86" s="92"/>
    </row>
    <row r="87" spans="2:7" ht="14.45" customHeight="1" x14ac:dyDescent="0.2">
      <c r="B87" s="192" t="s">
        <v>857</v>
      </c>
      <c r="C87" s="192" t="s">
        <v>858</v>
      </c>
      <c r="D87" s="193">
        <v>0</v>
      </c>
      <c r="E87" s="193">
        <v>0</v>
      </c>
      <c r="F87" s="193">
        <f t="shared" si="5"/>
        <v>0</v>
      </c>
      <c r="G87" s="92"/>
    </row>
    <row r="88" spans="2:7" ht="14.45" customHeight="1" x14ac:dyDescent="0.2">
      <c r="B88" s="192" t="s">
        <v>859</v>
      </c>
      <c r="C88" s="192" t="s">
        <v>860</v>
      </c>
      <c r="D88" s="193">
        <v>0</v>
      </c>
      <c r="E88" s="193">
        <v>0</v>
      </c>
      <c r="F88" s="193">
        <f t="shared" si="5"/>
        <v>0</v>
      </c>
      <c r="G88" s="92"/>
    </row>
    <row r="89" spans="2:7" ht="14.45" customHeight="1" x14ac:dyDescent="0.2">
      <c r="B89" s="192" t="s">
        <v>861</v>
      </c>
      <c r="C89" s="192" t="s">
        <v>862</v>
      </c>
      <c r="D89" s="193">
        <v>0</v>
      </c>
      <c r="E89" s="193">
        <v>0</v>
      </c>
      <c r="F89" s="193">
        <f t="shared" si="5"/>
        <v>0</v>
      </c>
      <c r="G89" s="92"/>
    </row>
    <row r="90" spans="2:7" ht="14.45" customHeight="1" x14ac:dyDescent="0.2">
      <c r="B90" s="192" t="s">
        <v>863</v>
      </c>
      <c r="C90" s="192" t="s">
        <v>864</v>
      </c>
      <c r="D90" s="193">
        <f>SUM(D91:D98)</f>
        <v>117900</v>
      </c>
      <c r="E90" s="193">
        <v>0</v>
      </c>
      <c r="F90" s="193">
        <f t="shared" si="5"/>
        <v>117900</v>
      </c>
      <c r="G90" s="92"/>
    </row>
    <row r="91" spans="2:7" ht="14.45" customHeight="1" x14ac:dyDescent="0.2">
      <c r="B91" s="185" t="s">
        <v>865</v>
      </c>
      <c r="C91" s="185" t="s">
        <v>866</v>
      </c>
      <c r="D91" s="155">
        <v>35000</v>
      </c>
      <c r="E91" s="155">
        <v>0</v>
      </c>
      <c r="F91" s="155">
        <f t="shared" si="5"/>
        <v>35000</v>
      </c>
      <c r="G91" s="92"/>
    </row>
    <row r="92" spans="2:7" ht="14.45" customHeight="1" x14ac:dyDescent="0.2">
      <c r="B92" s="185" t="s">
        <v>867</v>
      </c>
      <c r="C92" s="185" t="s">
        <v>868</v>
      </c>
      <c r="D92" s="155">
        <v>4000</v>
      </c>
      <c r="E92" s="155">
        <v>0</v>
      </c>
      <c r="F92" s="155">
        <f t="shared" si="5"/>
        <v>4000</v>
      </c>
      <c r="G92" s="92"/>
    </row>
    <row r="93" spans="2:7" ht="14.45" customHeight="1" x14ac:dyDescent="0.2">
      <c r="B93" s="185" t="s">
        <v>869</v>
      </c>
      <c r="C93" s="185" t="s">
        <v>870</v>
      </c>
      <c r="D93" s="155">
        <v>50000</v>
      </c>
      <c r="E93" s="155">
        <v>0</v>
      </c>
      <c r="F93" s="155">
        <f t="shared" si="5"/>
        <v>50000</v>
      </c>
      <c r="G93" s="92"/>
    </row>
    <row r="94" spans="2:7" ht="14.45" customHeight="1" x14ac:dyDescent="0.2">
      <c r="B94" s="185" t="s">
        <v>871</v>
      </c>
      <c r="C94" s="185" t="s">
        <v>872</v>
      </c>
      <c r="D94" s="155">
        <v>0</v>
      </c>
      <c r="E94" s="155">
        <v>0</v>
      </c>
      <c r="F94" s="155">
        <f t="shared" si="5"/>
        <v>0</v>
      </c>
      <c r="G94" s="92"/>
    </row>
    <row r="95" spans="2:7" ht="14.45" customHeight="1" x14ac:dyDescent="0.2">
      <c r="B95" s="185" t="s">
        <v>873</v>
      </c>
      <c r="C95" s="185" t="s">
        <v>874</v>
      </c>
      <c r="D95" s="155">
        <v>20000</v>
      </c>
      <c r="E95" s="155">
        <v>0</v>
      </c>
      <c r="F95" s="155">
        <f t="shared" si="5"/>
        <v>20000</v>
      </c>
      <c r="G95" s="92"/>
    </row>
    <row r="96" spans="2:7" ht="14.45" customHeight="1" x14ac:dyDescent="0.2">
      <c r="B96" s="185" t="s">
        <v>875</v>
      </c>
      <c r="C96" s="185" t="s">
        <v>876</v>
      </c>
      <c r="D96" s="155">
        <v>5000</v>
      </c>
      <c r="E96" s="155">
        <v>0</v>
      </c>
      <c r="F96" s="155">
        <f t="shared" si="5"/>
        <v>5000</v>
      </c>
      <c r="G96" s="92"/>
    </row>
    <row r="97" spans="2:7" ht="14.45" customHeight="1" x14ac:dyDescent="0.2">
      <c r="B97" s="185" t="s">
        <v>877</v>
      </c>
      <c r="C97" s="185" t="s">
        <v>878</v>
      </c>
      <c r="D97" s="155">
        <v>3000</v>
      </c>
      <c r="E97" s="155">
        <v>0</v>
      </c>
      <c r="F97" s="155">
        <f t="shared" si="5"/>
        <v>3000</v>
      </c>
      <c r="G97" s="92"/>
    </row>
    <row r="98" spans="2:7" ht="14.45" customHeight="1" x14ac:dyDescent="0.2">
      <c r="B98" s="194" t="s">
        <v>879</v>
      </c>
      <c r="C98" s="194" t="s">
        <v>880</v>
      </c>
      <c r="D98" s="195">
        <f>SUM(D99:D100)</f>
        <v>900</v>
      </c>
      <c r="E98" s="195">
        <f>SUM(E99:E100)</f>
        <v>0</v>
      </c>
      <c r="F98" s="195">
        <f>SUM(F99:F100)</f>
        <v>900</v>
      </c>
      <c r="G98" s="92"/>
    </row>
    <row r="99" spans="2:7" ht="14.45" customHeight="1" x14ac:dyDescent="0.2">
      <c r="B99" s="185" t="s">
        <v>881</v>
      </c>
      <c r="C99" s="185" t="s">
        <v>882</v>
      </c>
      <c r="D99" s="155">
        <v>0</v>
      </c>
      <c r="E99" s="155">
        <v>0</v>
      </c>
      <c r="F99" s="155">
        <f>SUM(D99:E99)</f>
        <v>0</v>
      </c>
      <c r="G99" s="92"/>
    </row>
    <row r="100" spans="2:7" ht="14.45" customHeight="1" x14ac:dyDescent="0.2">
      <c r="B100" s="185" t="s">
        <v>883</v>
      </c>
      <c r="C100" s="185" t="s">
        <v>884</v>
      </c>
      <c r="D100" s="155">
        <v>900</v>
      </c>
      <c r="E100" s="155">
        <v>0</v>
      </c>
      <c r="F100" s="155">
        <f>SUM(D100:E100)</f>
        <v>900</v>
      </c>
      <c r="G100" s="92"/>
    </row>
    <row r="101" spans="2:7" ht="14.45" customHeight="1" x14ac:dyDescent="0.2">
      <c r="B101" s="188" t="s">
        <v>885</v>
      </c>
      <c r="C101" s="188" t="s">
        <v>886</v>
      </c>
      <c r="D101" s="189">
        <f>SUM(D102:D103)</f>
        <v>0</v>
      </c>
      <c r="E101" s="189">
        <f>SUM(E102:E103)</f>
        <v>0</v>
      </c>
      <c r="F101" s="189">
        <f>SUM(F102:F103)</f>
        <v>0</v>
      </c>
      <c r="G101" s="92"/>
    </row>
    <row r="102" spans="2:7" ht="14.45" customHeight="1" x14ac:dyDescent="0.2">
      <c r="B102" s="185" t="s">
        <v>887</v>
      </c>
      <c r="C102" s="185" t="s">
        <v>888</v>
      </c>
      <c r="D102" s="155">
        <v>0</v>
      </c>
      <c r="E102" s="155">
        <v>0</v>
      </c>
      <c r="F102" s="155">
        <f>SUM(D102:E102)</f>
        <v>0</v>
      </c>
      <c r="G102" s="92"/>
    </row>
    <row r="103" spans="2:7" ht="14.45" customHeight="1" x14ac:dyDescent="0.2">
      <c r="B103" s="185" t="s">
        <v>889</v>
      </c>
      <c r="C103" s="185" t="s">
        <v>890</v>
      </c>
      <c r="D103" s="155">
        <v>0</v>
      </c>
      <c r="E103" s="155">
        <v>0</v>
      </c>
      <c r="F103" s="155">
        <f>SUM(D103:E103)</f>
        <v>0</v>
      </c>
      <c r="G103" s="92"/>
    </row>
    <row r="104" spans="2:7" ht="14.45" customHeight="1" x14ac:dyDescent="0.2">
      <c r="B104" s="182" t="s">
        <v>891</v>
      </c>
      <c r="C104" s="182" t="s">
        <v>892</v>
      </c>
      <c r="D104" s="153">
        <f>+D105+D118+D124+D145</f>
        <v>5562785</v>
      </c>
      <c r="E104" s="153">
        <f>+E105+E118+E124+E145</f>
        <v>628240.92999999993</v>
      </c>
      <c r="F104" s="153">
        <f>+F105+F118+F124+F145</f>
        <v>6191025.9299999997</v>
      </c>
      <c r="G104" s="92"/>
    </row>
    <row r="105" spans="2:7" ht="14.45" customHeight="1" x14ac:dyDescent="0.2">
      <c r="B105" s="192" t="s">
        <v>893</v>
      </c>
      <c r="C105" s="192" t="s">
        <v>894</v>
      </c>
      <c r="D105" s="193">
        <f>+D106+D114+D115+D116+D117</f>
        <v>161695</v>
      </c>
      <c r="E105" s="193">
        <f>+E106+E114+E115+E116+E117</f>
        <v>457467.93</v>
      </c>
      <c r="F105" s="193">
        <f>+F106+F114+F115+F116+F117</f>
        <v>619162.92999999993</v>
      </c>
      <c r="G105" s="92"/>
    </row>
    <row r="106" spans="2:7" ht="14.45" customHeight="1" x14ac:dyDescent="0.2">
      <c r="B106" s="194" t="s">
        <v>895</v>
      </c>
      <c r="C106" s="194" t="s">
        <v>896</v>
      </c>
      <c r="D106" s="195">
        <f>SUM(D107:D113)</f>
        <v>161695</v>
      </c>
      <c r="E106" s="195">
        <f>SUM(E107:E113)</f>
        <v>134044.72999999998</v>
      </c>
      <c r="F106" s="195">
        <f>SUM(F107:F113)</f>
        <v>295739.73</v>
      </c>
      <c r="G106" s="92"/>
    </row>
    <row r="107" spans="2:7" ht="98.45" customHeight="1" x14ac:dyDescent="0.2">
      <c r="B107" s="185" t="s">
        <v>897</v>
      </c>
      <c r="C107" s="185" t="s">
        <v>898</v>
      </c>
      <c r="D107" s="155">
        <v>0</v>
      </c>
      <c r="E107" s="197">
        <f>74262+10000+500</f>
        <v>84762</v>
      </c>
      <c r="F107" s="197">
        <f t="shared" ref="F107:F117" si="6">SUM(D107:E107)</f>
        <v>84762</v>
      </c>
      <c r="G107" s="140" t="s">
        <v>899</v>
      </c>
    </row>
    <row r="108" spans="2:7" ht="106.9" customHeight="1" x14ac:dyDescent="0.2">
      <c r="B108" s="185" t="s">
        <v>900</v>
      </c>
      <c r="C108" s="185" t="s">
        <v>901</v>
      </c>
      <c r="D108" s="155">
        <v>161695</v>
      </c>
      <c r="E108" s="197">
        <f>9011+500-102.27+1402</f>
        <v>10810.73</v>
      </c>
      <c r="F108" s="197">
        <f t="shared" si="6"/>
        <v>172505.73</v>
      </c>
      <c r="G108" s="140" t="s">
        <v>902</v>
      </c>
    </row>
    <row r="109" spans="2:7" ht="36" customHeight="1" x14ac:dyDescent="0.2">
      <c r="B109" s="185" t="s">
        <v>903</v>
      </c>
      <c r="C109" s="185" t="s">
        <v>904</v>
      </c>
      <c r="D109" s="155">
        <v>0</v>
      </c>
      <c r="E109" s="197">
        <v>300</v>
      </c>
      <c r="F109" s="197">
        <f t="shared" si="6"/>
        <v>300</v>
      </c>
      <c r="G109" s="140" t="s">
        <v>905</v>
      </c>
    </row>
    <row r="110" spans="2:7" ht="50.45" customHeight="1" x14ac:dyDescent="0.2">
      <c r="B110" s="185" t="s">
        <v>906</v>
      </c>
      <c r="C110" s="185" t="s">
        <v>907</v>
      </c>
      <c r="D110" s="155">
        <v>0</v>
      </c>
      <c r="E110" s="155">
        <v>20000</v>
      </c>
      <c r="F110" s="155">
        <f t="shared" si="6"/>
        <v>20000</v>
      </c>
      <c r="G110" s="92" t="s">
        <v>908</v>
      </c>
    </row>
    <row r="111" spans="2:7" ht="14.45" customHeight="1" x14ac:dyDescent="0.2">
      <c r="B111" s="185" t="s">
        <v>909</v>
      </c>
      <c r="C111" s="185" t="s">
        <v>910</v>
      </c>
      <c r="D111" s="155">
        <v>0</v>
      </c>
      <c r="E111" s="197">
        <v>0</v>
      </c>
      <c r="F111" s="197">
        <f t="shared" si="6"/>
        <v>0</v>
      </c>
      <c r="G111" s="140"/>
    </row>
    <row r="112" spans="2:7" ht="14.45" customHeight="1" x14ac:dyDescent="0.2">
      <c r="B112" s="185" t="s">
        <v>911</v>
      </c>
      <c r="C112" s="185" t="s">
        <v>912</v>
      </c>
      <c r="D112" s="155">
        <v>0</v>
      </c>
      <c r="E112" s="197">
        <v>15000</v>
      </c>
      <c r="F112" s="197">
        <f t="shared" si="6"/>
        <v>15000</v>
      </c>
      <c r="G112" s="140" t="s">
        <v>913</v>
      </c>
    </row>
    <row r="113" spans="2:7" ht="14.45" customHeight="1" x14ac:dyDescent="0.2">
      <c r="B113" s="185" t="s">
        <v>914</v>
      </c>
      <c r="C113" s="185" t="s">
        <v>915</v>
      </c>
      <c r="D113" s="155">
        <v>0</v>
      </c>
      <c r="E113" s="197">
        <v>3172</v>
      </c>
      <c r="F113" s="197">
        <f t="shared" si="6"/>
        <v>3172</v>
      </c>
      <c r="G113" s="140" t="s">
        <v>916</v>
      </c>
    </row>
    <row r="114" spans="2:7" ht="14.45" customHeight="1" x14ac:dyDescent="0.2">
      <c r="B114" s="194" t="s">
        <v>917</v>
      </c>
      <c r="C114" s="194" t="s">
        <v>918</v>
      </c>
      <c r="D114" s="195">
        <v>0</v>
      </c>
      <c r="E114" s="195">
        <v>0</v>
      </c>
      <c r="F114" s="195">
        <f t="shared" si="6"/>
        <v>0</v>
      </c>
      <c r="G114" s="92"/>
    </row>
    <row r="115" spans="2:7" ht="14.45" customHeight="1" x14ac:dyDescent="0.2">
      <c r="B115" s="194" t="s">
        <v>919</v>
      </c>
      <c r="C115" s="194" t="s">
        <v>920</v>
      </c>
      <c r="D115" s="195">
        <v>0</v>
      </c>
      <c r="E115" s="195">
        <v>0</v>
      </c>
      <c r="F115" s="195">
        <f t="shared" si="6"/>
        <v>0</v>
      </c>
      <c r="G115" s="92"/>
    </row>
    <row r="116" spans="2:7" ht="209.45" customHeight="1" x14ac:dyDescent="0.2">
      <c r="B116" s="194" t="s">
        <v>921</v>
      </c>
      <c r="C116" s="194" t="s">
        <v>922</v>
      </c>
      <c r="D116" s="195">
        <v>0</v>
      </c>
      <c r="E116" s="194">
        <f>8330+1000+3000+79351+100000+50000+200+485+51546+20445.2+6440+126+500+2000</f>
        <v>323423.2</v>
      </c>
      <c r="F116" s="195">
        <f>SUM(D116:E116)</f>
        <v>323423.2</v>
      </c>
      <c r="G116" s="156" t="s">
        <v>923</v>
      </c>
    </row>
    <row r="117" spans="2:7" ht="14.45" customHeight="1" x14ac:dyDescent="0.2">
      <c r="B117" s="194" t="s">
        <v>924</v>
      </c>
      <c r="C117" s="194" t="s">
        <v>925</v>
      </c>
      <c r="D117" s="195">
        <v>0</v>
      </c>
      <c r="E117" s="195">
        <v>0</v>
      </c>
      <c r="F117" s="195">
        <f t="shared" si="6"/>
        <v>0</v>
      </c>
      <c r="G117" s="92"/>
    </row>
    <row r="118" spans="2:7" ht="14.45" customHeight="1" x14ac:dyDescent="0.2">
      <c r="B118" s="192" t="s">
        <v>926</v>
      </c>
      <c r="C118" s="192" t="s">
        <v>927</v>
      </c>
      <c r="D118" s="193">
        <f>+D119+D123</f>
        <v>31956</v>
      </c>
      <c r="E118" s="193">
        <f>+E119+E123</f>
        <v>0</v>
      </c>
      <c r="F118" s="193">
        <f>+F119+F123</f>
        <v>31956</v>
      </c>
      <c r="G118" s="92"/>
    </row>
    <row r="119" spans="2:7" ht="14.45" customHeight="1" x14ac:dyDescent="0.2">
      <c r="B119" s="194" t="s">
        <v>928</v>
      </c>
      <c r="C119" s="194" t="s">
        <v>896</v>
      </c>
      <c r="D119" s="195">
        <f>SUM(D120:D122)</f>
        <v>31956</v>
      </c>
      <c r="E119" s="195">
        <f>SUM(E120:E122)</f>
        <v>0</v>
      </c>
      <c r="F119" s="195">
        <f>SUM(F120:F122)</f>
        <v>31956</v>
      </c>
      <c r="G119" s="92"/>
    </row>
    <row r="120" spans="2:7" ht="14.45" customHeight="1" x14ac:dyDescent="0.2">
      <c r="B120" s="185" t="s">
        <v>929</v>
      </c>
      <c r="C120" s="185" t="s">
        <v>901</v>
      </c>
      <c r="D120" s="155">
        <v>31956</v>
      </c>
      <c r="E120" s="155">
        <v>0</v>
      </c>
      <c r="F120" s="155">
        <f>SUM(D120:E120)</f>
        <v>31956</v>
      </c>
      <c r="G120" s="92"/>
    </row>
    <row r="121" spans="2:7" ht="14.45" customHeight="1" x14ac:dyDescent="0.2">
      <c r="B121" s="185" t="s">
        <v>930</v>
      </c>
      <c r="C121" s="185" t="s">
        <v>931</v>
      </c>
      <c r="D121" s="155">
        <v>0</v>
      </c>
      <c r="E121" s="155">
        <v>0</v>
      </c>
      <c r="F121" s="155">
        <f>SUM(D121:E121)</f>
        <v>0</v>
      </c>
      <c r="G121" s="92"/>
    </row>
    <row r="122" spans="2:7" ht="14.45" customHeight="1" x14ac:dyDescent="0.2">
      <c r="B122" s="185" t="s">
        <v>932</v>
      </c>
      <c r="C122" s="185" t="s">
        <v>910</v>
      </c>
      <c r="D122" s="155">
        <v>0</v>
      </c>
      <c r="E122" s="155">
        <v>0</v>
      </c>
      <c r="F122" s="155">
        <f>SUM(D122:E122)</f>
        <v>0</v>
      </c>
      <c r="G122" s="92"/>
    </row>
    <row r="123" spans="2:7" ht="14.45" customHeight="1" x14ac:dyDescent="0.2">
      <c r="B123" s="194" t="s">
        <v>933</v>
      </c>
      <c r="C123" s="194" t="s">
        <v>922</v>
      </c>
      <c r="D123" s="195">
        <v>0</v>
      </c>
      <c r="E123" s="195">
        <v>0</v>
      </c>
      <c r="F123" s="195">
        <v>0</v>
      </c>
      <c r="G123" s="92"/>
    </row>
    <row r="124" spans="2:7" ht="14.45" customHeight="1" x14ac:dyDescent="0.2">
      <c r="B124" s="192" t="s">
        <v>934</v>
      </c>
      <c r="C124" s="192" t="s">
        <v>935</v>
      </c>
      <c r="D124" s="193">
        <f>+D125+D126</f>
        <v>5369134</v>
      </c>
      <c r="E124" s="193">
        <f>+E125+E126</f>
        <v>170773</v>
      </c>
      <c r="F124" s="193">
        <f>+F125+F126</f>
        <v>5539907</v>
      </c>
      <c r="G124" s="92"/>
    </row>
    <row r="125" spans="2:7" ht="14.45" customHeight="1" x14ac:dyDescent="0.2">
      <c r="B125" s="185" t="s">
        <v>936</v>
      </c>
      <c r="C125" s="185" t="s">
        <v>937</v>
      </c>
      <c r="D125" s="155">
        <v>1276056</v>
      </c>
      <c r="E125" s="155">
        <f>-1276056+1159092</f>
        <v>-116964</v>
      </c>
      <c r="F125" s="155">
        <f>SUM(D125:E125)</f>
        <v>1159092</v>
      </c>
      <c r="G125" s="92"/>
    </row>
    <row r="126" spans="2:7" ht="14.45" customHeight="1" x14ac:dyDescent="0.2">
      <c r="B126" s="198" t="s">
        <v>938</v>
      </c>
      <c r="C126" s="198" t="s">
        <v>939</v>
      </c>
      <c r="D126" s="199">
        <f>+D127+D135+D136+D141+D142+D143+D144</f>
        <v>4093078</v>
      </c>
      <c r="E126" s="199">
        <f>+E127+E135+E136+E141+E142+E143+E144</f>
        <v>287737</v>
      </c>
      <c r="F126" s="199">
        <f>+F127+F135+F136+F141+F142+F143+F144</f>
        <v>4380815</v>
      </c>
      <c r="G126" s="92"/>
    </row>
    <row r="127" spans="2:7" ht="14.45" customHeight="1" x14ac:dyDescent="0.2">
      <c r="B127" s="194" t="s">
        <v>940</v>
      </c>
      <c r="C127" s="194" t="s">
        <v>941</v>
      </c>
      <c r="D127" s="195">
        <f>SUM(D128:D134)</f>
        <v>3432568</v>
      </c>
      <c r="E127" s="195">
        <f>SUM(E128:E134)</f>
        <v>163590</v>
      </c>
      <c r="F127" s="195">
        <f>SUM(F128:F134)</f>
        <v>3596158</v>
      </c>
      <c r="G127" s="92"/>
    </row>
    <row r="128" spans="2:7" ht="14.45" customHeight="1" x14ac:dyDescent="0.2">
      <c r="B128" s="185" t="s">
        <v>942</v>
      </c>
      <c r="C128" s="185" t="s">
        <v>943</v>
      </c>
      <c r="D128" s="155">
        <v>2120213</v>
      </c>
      <c r="E128" s="155">
        <f>-2120213+2270691</f>
        <v>150478</v>
      </c>
      <c r="F128" s="155">
        <f t="shared" ref="F128:F135" si="7">SUM(D128:E128)</f>
        <v>2270691</v>
      </c>
      <c r="G128" s="92"/>
    </row>
    <row r="129" spans="2:7" ht="14.45" customHeight="1" x14ac:dyDescent="0.2">
      <c r="B129" s="185" t="s">
        <v>944</v>
      </c>
      <c r="C129" s="185" t="s">
        <v>945</v>
      </c>
      <c r="D129" s="155">
        <v>701154</v>
      </c>
      <c r="E129" s="155">
        <f>-701154+721200</f>
        <v>20046</v>
      </c>
      <c r="F129" s="155">
        <f t="shared" si="7"/>
        <v>721200</v>
      </c>
      <c r="G129" s="92"/>
    </row>
    <row r="130" spans="2:7" ht="14.45" customHeight="1" x14ac:dyDescent="0.2">
      <c r="B130" s="185" t="s">
        <v>946</v>
      </c>
      <c r="C130" s="185" t="s">
        <v>947</v>
      </c>
      <c r="D130" s="155">
        <v>196144</v>
      </c>
      <c r="E130" s="155">
        <f>-196144+193384</f>
        <v>-2760</v>
      </c>
      <c r="F130" s="155">
        <f t="shared" si="7"/>
        <v>193384</v>
      </c>
      <c r="G130" s="92"/>
    </row>
    <row r="131" spans="2:7" ht="14.45" customHeight="1" x14ac:dyDescent="0.2">
      <c r="B131" s="185" t="s">
        <v>948</v>
      </c>
      <c r="C131" s="185" t="s">
        <v>949</v>
      </c>
      <c r="D131" s="155">
        <v>25584</v>
      </c>
      <c r="E131" s="155">
        <f>-25584+25349</f>
        <v>-235</v>
      </c>
      <c r="F131" s="155">
        <f t="shared" si="7"/>
        <v>25349</v>
      </c>
      <c r="G131" s="92"/>
    </row>
    <row r="132" spans="2:7" ht="14.45" customHeight="1" x14ac:dyDescent="0.2">
      <c r="B132" s="185" t="s">
        <v>950</v>
      </c>
      <c r="C132" s="185" t="s">
        <v>951</v>
      </c>
      <c r="D132" s="155">
        <v>121250</v>
      </c>
      <c r="E132" s="155">
        <f>-121250+119495</f>
        <v>-1755</v>
      </c>
      <c r="F132" s="155">
        <f t="shared" si="7"/>
        <v>119495</v>
      </c>
      <c r="G132" s="92"/>
    </row>
    <row r="133" spans="2:7" ht="14.45" customHeight="1" x14ac:dyDescent="0.2">
      <c r="B133" s="185" t="s">
        <v>952</v>
      </c>
      <c r="C133" s="185" t="s">
        <v>953</v>
      </c>
      <c r="D133" s="155">
        <v>268223</v>
      </c>
      <c r="E133" s="155">
        <f>-268223+266039</f>
        <v>-2184</v>
      </c>
      <c r="F133" s="155">
        <f t="shared" si="7"/>
        <v>266039</v>
      </c>
      <c r="G133" s="92"/>
    </row>
    <row r="134" spans="2:7" ht="14.45" customHeight="1" x14ac:dyDescent="0.2">
      <c r="B134" s="185" t="s">
        <v>954</v>
      </c>
      <c r="C134" s="185" t="s">
        <v>955</v>
      </c>
      <c r="D134" s="155">
        <v>0</v>
      </c>
      <c r="E134" s="155">
        <v>0</v>
      </c>
      <c r="F134" s="155">
        <f t="shared" si="7"/>
        <v>0</v>
      </c>
      <c r="G134" s="92"/>
    </row>
    <row r="135" spans="2:7" ht="14.45" customHeight="1" x14ac:dyDescent="0.2">
      <c r="B135" s="194" t="s">
        <v>956</v>
      </c>
      <c r="C135" s="194" t="s">
        <v>957</v>
      </c>
      <c r="D135" s="195">
        <v>297649</v>
      </c>
      <c r="E135" s="195">
        <f>-297649+330581</f>
        <v>32932</v>
      </c>
      <c r="F135" s="195">
        <f t="shared" si="7"/>
        <v>330581</v>
      </c>
      <c r="G135" s="92"/>
    </row>
    <row r="136" spans="2:7" ht="14.45" customHeight="1" x14ac:dyDescent="0.2">
      <c r="B136" s="194" t="s">
        <v>958</v>
      </c>
      <c r="C136" s="194" t="s">
        <v>959</v>
      </c>
      <c r="D136" s="195">
        <f>SUM(D137:D140)</f>
        <v>35683</v>
      </c>
      <c r="E136" s="195">
        <f>SUM(E137:E140)</f>
        <v>-1093</v>
      </c>
      <c r="F136" s="195">
        <f>SUM(F137:F140)</f>
        <v>34590</v>
      </c>
      <c r="G136" s="92"/>
    </row>
    <row r="137" spans="2:7" ht="14.45" customHeight="1" x14ac:dyDescent="0.2">
      <c r="B137" s="185" t="s">
        <v>960</v>
      </c>
      <c r="C137" s="185" t="s">
        <v>961</v>
      </c>
      <c r="D137" s="155">
        <v>4403</v>
      </c>
      <c r="E137" s="155">
        <f>-4403+5651</f>
        <v>1248</v>
      </c>
      <c r="F137" s="155">
        <f t="shared" ref="F137:F145" si="8">SUM(D137:E137)</f>
        <v>5651</v>
      </c>
      <c r="G137" s="92"/>
    </row>
    <row r="138" spans="2:7" ht="14.45" customHeight="1" x14ac:dyDescent="0.2">
      <c r="B138" s="185" t="s">
        <v>962</v>
      </c>
      <c r="C138" s="185" t="s">
        <v>963</v>
      </c>
      <c r="D138" s="155">
        <v>5241</v>
      </c>
      <c r="E138" s="155">
        <f>-5241+28061</f>
        <v>22820</v>
      </c>
      <c r="F138" s="155">
        <f t="shared" si="8"/>
        <v>28061</v>
      </c>
      <c r="G138" s="92"/>
    </row>
    <row r="139" spans="2:7" ht="14.45" customHeight="1" x14ac:dyDescent="0.2">
      <c r="B139" s="185" t="s">
        <v>964</v>
      </c>
      <c r="C139" s="185" t="s">
        <v>965</v>
      </c>
      <c r="D139" s="155">
        <v>25297</v>
      </c>
      <c r="E139" s="155">
        <v>-25297</v>
      </c>
      <c r="F139" s="155">
        <f t="shared" si="8"/>
        <v>0</v>
      </c>
      <c r="G139" s="92"/>
    </row>
    <row r="140" spans="2:7" ht="14.45" customHeight="1" x14ac:dyDescent="0.2">
      <c r="B140" s="185" t="s">
        <v>966</v>
      </c>
      <c r="C140" s="185" t="s">
        <v>967</v>
      </c>
      <c r="D140" s="155">
        <v>742</v>
      </c>
      <c r="E140" s="155">
        <f>-742+878</f>
        <v>136</v>
      </c>
      <c r="F140" s="155">
        <f t="shared" si="8"/>
        <v>878</v>
      </c>
      <c r="G140" s="92"/>
    </row>
    <row r="141" spans="2:7" ht="14.45" customHeight="1" x14ac:dyDescent="0.2">
      <c r="B141" s="194" t="s">
        <v>968</v>
      </c>
      <c r="C141" s="194" t="s">
        <v>969</v>
      </c>
      <c r="D141" s="195">
        <v>2060</v>
      </c>
      <c r="E141" s="195">
        <f>-2060+47520</f>
        <v>45460</v>
      </c>
      <c r="F141" s="195">
        <f t="shared" si="8"/>
        <v>47520</v>
      </c>
      <c r="G141" s="92"/>
    </row>
    <row r="142" spans="2:7" ht="14.45" customHeight="1" x14ac:dyDescent="0.2">
      <c r="B142" s="194" t="s">
        <v>970</v>
      </c>
      <c r="C142" s="194" t="s">
        <v>971</v>
      </c>
      <c r="D142" s="195">
        <v>325118</v>
      </c>
      <c r="E142" s="195">
        <f>-325118+310558</f>
        <v>-14560</v>
      </c>
      <c r="F142" s="195">
        <f t="shared" si="8"/>
        <v>310558</v>
      </c>
      <c r="G142" s="92"/>
    </row>
    <row r="143" spans="2:7" ht="14.45" customHeight="1" x14ac:dyDescent="0.2">
      <c r="B143" s="200">
        <v>35201725</v>
      </c>
      <c r="C143" s="194" t="s">
        <v>972</v>
      </c>
      <c r="D143" s="195">
        <v>0</v>
      </c>
      <c r="E143" s="195">
        <v>25543</v>
      </c>
      <c r="F143" s="195">
        <f t="shared" si="8"/>
        <v>25543</v>
      </c>
      <c r="G143" s="92"/>
    </row>
    <row r="144" spans="2:7" ht="14.45" customHeight="1" x14ac:dyDescent="0.2">
      <c r="B144" s="200">
        <v>35201726</v>
      </c>
      <c r="C144" s="194" t="s">
        <v>973</v>
      </c>
      <c r="D144" s="195">
        <v>0</v>
      </c>
      <c r="E144" s="195">
        <v>35865</v>
      </c>
      <c r="F144" s="195">
        <f t="shared" si="8"/>
        <v>35865</v>
      </c>
      <c r="G144" s="92"/>
    </row>
    <row r="145" spans="2:7" ht="14.45" customHeight="1" x14ac:dyDescent="0.2">
      <c r="B145" s="188" t="s">
        <v>974</v>
      </c>
      <c r="C145" s="188" t="s">
        <v>925</v>
      </c>
      <c r="D145" s="189">
        <v>0</v>
      </c>
      <c r="E145" s="189">
        <v>0</v>
      </c>
      <c r="F145" s="189">
        <f t="shared" si="8"/>
        <v>0</v>
      </c>
      <c r="G145" s="92"/>
    </row>
    <row r="146" spans="2:7" ht="14.45" customHeight="1" x14ac:dyDescent="0.2">
      <c r="B146" s="182" t="s">
        <v>975</v>
      </c>
      <c r="C146" s="182" t="s">
        <v>976</v>
      </c>
      <c r="D146" s="153">
        <f>+D147+D148+D149+D151+D152+D153</f>
        <v>33000</v>
      </c>
      <c r="E146" s="153">
        <f>+E147+E148+E149+E151+E152+E153</f>
        <v>180000</v>
      </c>
      <c r="F146" s="153">
        <f>+F147+F148+F149+F151+F152+F153</f>
        <v>213000</v>
      </c>
      <c r="G146" s="92"/>
    </row>
    <row r="147" spans="2:7" ht="14.45" customHeight="1" x14ac:dyDescent="0.2">
      <c r="B147" s="188" t="s">
        <v>977</v>
      </c>
      <c r="C147" s="188" t="s">
        <v>978</v>
      </c>
      <c r="D147" s="189">
        <v>0</v>
      </c>
      <c r="E147" s="189">
        <v>0</v>
      </c>
      <c r="F147" s="189">
        <f>SUM(D147:E147)</f>
        <v>0</v>
      </c>
      <c r="G147" s="92"/>
    </row>
    <row r="148" spans="2:7" ht="14.45" customHeight="1" x14ac:dyDescent="0.2">
      <c r="B148" s="188" t="s">
        <v>979</v>
      </c>
      <c r="C148" s="188" t="s">
        <v>980</v>
      </c>
      <c r="D148" s="189">
        <v>0</v>
      </c>
      <c r="E148" s="189">
        <v>180000</v>
      </c>
      <c r="F148" s="189">
        <f>SUM(D148:E148)</f>
        <v>180000</v>
      </c>
      <c r="G148" s="92" t="s">
        <v>981</v>
      </c>
    </row>
    <row r="149" spans="2:7" ht="14.45" customHeight="1" x14ac:dyDescent="0.2">
      <c r="B149" s="194" t="s">
        <v>982</v>
      </c>
      <c r="C149" s="194" t="s">
        <v>983</v>
      </c>
      <c r="D149" s="195">
        <f>SUM(D150)</f>
        <v>33000</v>
      </c>
      <c r="E149" s="195">
        <f>SUM(E150)</f>
        <v>0</v>
      </c>
      <c r="F149" s="195">
        <f>SUM(F150)</f>
        <v>33000</v>
      </c>
      <c r="G149" s="92"/>
    </row>
    <row r="150" spans="2:7" ht="14.45" customHeight="1" x14ac:dyDescent="0.2">
      <c r="B150" s="185" t="s">
        <v>984</v>
      </c>
      <c r="C150" s="185" t="s">
        <v>985</v>
      </c>
      <c r="D150" s="155">
        <v>33000</v>
      </c>
      <c r="E150" s="155">
        <v>0</v>
      </c>
      <c r="F150" s="155">
        <f>SUM(D150:E150)</f>
        <v>33000</v>
      </c>
      <c r="G150" s="92"/>
    </row>
    <row r="151" spans="2:7" ht="14.45" customHeight="1" x14ac:dyDescent="0.2">
      <c r="B151" s="188" t="s">
        <v>986</v>
      </c>
      <c r="C151" s="188" t="s">
        <v>452</v>
      </c>
      <c r="D151" s="189">
        <v>0</v>
      </c>
      <c r="E151" s="189">
        <v>0</v>
      </c>
      <c r="F151" s="189">
        <f>SUM(D151:E151)</f>
        <v>0</v>
      </c>
      <c r="G151" s="92"/>
    </row>
    <row r="152" spans="2:7" ht="14.45" customHeight="1" x14ac:dyDescent="0.2">
      <c r="B152" s="188" t="s">
        <v>987</v>
      </c>
      <c r="C152" s="188" t="s">
        <v>988</v>
      </c>
      <c r="D152" s="189">
        <v>0</v>
      </c>
      <c r="E152" s="189">
        <v>0</v>
      </c>
      <c r="F152" s="189">
        <f>SUM(D152:E152)</f>
        <v>0</v>
      </c>
      <c r="G152" s="92"/>
    </row>
    <row r="153" spans="2:7" ht="14.45" customHeight="1" x14ac:dyDescent="0.2">
      <c r="B153" s="188" t="s">
        <v>989</v>
      </c>
      <c r="C153" s="188" t="s">
        <v>990</v>
      </c>
      <c r="D153" s="189">
        <v>0</v>
      </c>
      <c r="E153" s="189">
        <v>0</v>
      </c>
      <c r="F153" s="189">
        <f>SUM(D153:E153)</f>
        <v>0</v>
      </c>
      <c r="G153" s="92"/>
    </row>
    <row r="154" spans="2:7" ht="14.45" customHeight="1" x14ac:dyDescent="0.2">
      <c r="B154" s="182" t="s">
        <v>991</v>
      </c>
      <c r="C154" s="182" t="s">
        <v>992</v>
      </c>
      <c r="D154" s="153">
        <f>+D155</f>
        <v>0</v>
      </c>
      <c r="E154" s="153">
        <f>+E155</f>
        <v>0</v>
      </c>
      <c r="F154" s="153">
        <f>+F155</f>
        <v>0</v>
      </c>
      <c r="G154" s="92"/>
    </row>
    <row r="155" spans="2:7" ht="14.45" customHeight="1" x14ac:dyDescent="0.2">
      <c r="B155" s="188" t="s">
        <v>993</v>
      </c>
      <c r="C155" s="188" t="s">
        <v>994</v>
      </c>
      <c r="D155" s="189">
        <v>0</v>
      </c>
      <c r="E155" s="189">
        <v>0</v>
      </c>
      <c r="F155" s="189">
        <f>SUM(D155:E155)</f>
        <v>0</v>
      </c>
      <c r="G155" s="92"/>
    </row>
    <row r="156" spans="2:7" ht="14.45" customHeight="1" x14ac:dyDescent="0.2">
      <c r="B156" s="201"/>
      <c r="C156" s="201" t="s">
        <v>995</v>
      </c>
      <c r="D156" s="202">
        <f>+D154+D146+D104+D12+D8+D6+D4</f>
        <v>17671241</v>
      </c>
      <c r="E156" s="202">
        <f>+E154+E146+E104+E12+E8+E6+E4</f>
        <v>2868601.7899999996</v>
      </c>
      <c r="F156" s="202">
        <f>+F154+F146+F104+F12+F8+F6+F4</f>
        <v>20539842.789999999</v>
      </c>
      <c r="G156" s="92"/>
    </row>
  </sheetData>
  <phoneticPr fontId="10" type="noConversion"/>
  <pageMargins left="0.15748031496062992" right="0.15748031496062992" top="0.35433070866141736" bottom="0.43307086614173229" header="0.19685039370078741" footer="0.15748031496062992"/>
  <pageSetup paperSize="9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2.75" x14ac:dyDescent="0.2"/>
  <cols>
    <col min="1" max="1" width="39.28515625" customWidth="1"/>
  </cols>
  <sheetData>
    <row r="1" spans="1:7" x14ac:dyDescent="0.2">
      <c r="A1" s="204" t="s">
        <v>997</v>
      </c>
    </row>
    <row r="2" spans="1:7" ht="33.75" x14ac:dyDescent="0.2">
      <c r="A2" s="205">
        <v>42005</v>
      </c>
      <c r="B2" s="205" t="s">
        <v>998</v>
      </c>
      <c r="C2" s="205" t="s">
        <v>999</v>
      </c>
      <c r="D2" s="206" t="s">
        <v>1000</v>
      </c>
      <c r="E2" s="206" t="s">
        <v>1001</v>
      </c>
      <c r="F2" s="206" t="s">
        <v>1002</v>
      </c>
      <c r="G2" s="206" t="s">
        <v>1003</v>
      </c>
    </row>
    <row r="3" spans="1:7" x14ac:dyDescent="0.2">
      <c r="A3" s="207"/>
      <c r="B3" s="208"/>
      <c r="C3" s="209">
        <f>0.5/100</f>
        <v>5.0000000000000001E-3</v>
      </c>
      <c r="D3" s="210"/>
      <c r="E3" s="210"/>
      <c r="F3" s="210"/>
      <c r="G3" s="211"/>
    </row>
    <row r="4" spans="1:7" x14ac:dyDescent="0.2">
      <c r="A4" s="207" t="s">
        <v>1004</v>
      </c>
      <c r="B4" s="212">
        <v>2403238</v>
      </c>
      <c r="C4" s="213">
        <f>0.139/100</f>
        <v>1.3900000000000002E-3</v>
      </c>
      <c r="D4" s="214">
        <v>43089</v>
      </c>
      <c r="E4" s="215">
        <v>240321.25</v>
      </c>
      <c r="F4" s="216">
        <v>240324.03</v>
      </c>
      <c r="G4" s="217">
        <f t="shared" ref="G4:G11" si="0">+($C4+$C$3)*E4</f>
        <v>1535.6527874999999</v>
      </c>
    </row>
    <row r="5" spans="1:7" x14ac:dyDescent="0.2">
      <c r="A5" s="207" t="s">
        <v>1005</v>
      </c>
      <c r="B5" s="212">
        <v>1070520</v>
      </c>
      <c r="C5" s="213">
        <f>0.5/100</f>
        <v>5.0000000000000001E-3</v>
      </c>
      <c r="D5" s="214">
        <v>43454</v>
      </c>
      <c r="E5" s="215">
        <v>214103.95</v>
      </c>
      <c r="F5" s="216">
        <v>107052.01</v>
      </c>
      <c r="G5" s="217">
        <f t="shared" si="0"/>
        <v>2141.0395000000003</v>
      </c>
    </row>
    <row r="6" spans="1:7" x14ac:dyDescent="0.2">
      <c r="A6" s="207" t="s">
        <v>1006</v>
      </c>
      <c r="B6" s="212">
        <v>844052</v>
      </c>
      <c r="C6" s="213">
        <f>1.28/100</f>
        <v>1.2800000000000001E-2</v>
      </c>
      <c r="D6" s="214">
        <v>44185</v>
      </c>
      <c r="E6" s="215">
        <v>337621</v>
      </c>
      <c r="F6" s="216">
        <v>84405.2</v>
      </c>
      <c r="G6" s="217">
        <f t="shared" si="0"/>
        <v>6009.6538</v>
      </c>
    </row>
    <row r="7" spans="1:7" x14ac:dyDescent="0.2">
      <c r="A7" s="207" t="s">
        <v>1007</v>
      </c>
      <c r="B7" s="212">
        <v>3187566</v>
      </c>
      <c r="C7" s="213">
        <f>1.18/100</f>
        <v>1.18E-2</v>
      </c>
      <c r="D7" s="214">
        <v>44495</v>
      </c>
      <c r="E7" s="215">
        <v>1543114.1</v>
      </c>
      <c r="F7" s="216">
        <v>319265.15999999997</v>
      </c>
      <c r="G7" s="217">
        <f t="shared" si="0"/>
        <v>25924.316879999998</v>
      </c>
    </row>
    <row r="8" spans="1:7" x14ac:dyDescent="0.2">
      <c r="A8" s="207" t="s">
        <v>1008</v>
      </c>
      <c r="B8" s="212">
        <v>1676213</v>
      </c>
      <c r="C8" s="213">
        <f>1.358/100</f>
        <v>1.3580000000000002E-2</v>
      </c>
      <c r="D8" s="214">
        <v>44947</v>
      </c>
      <c r="E8" s="215">
        <v>1011269</v>
      </c>
      <c r="F8" s="216">
        <v>166236</v>
      </c>
      <c r="G8" s="217">
        <f t="shared" si="0"/>
        <v>18789.378020000004</v>
      </c>
    </row>
    <row r="9" spans="1:7" x14ac:dyDescent="0.2">
      <c r="A9" s="207" t="s">
        <v>1009</v>
      </c>
      <c r="B9" s="212">
        <v>1219156</v>
      </c>
      <c r="C9" s="213">
        <f>1.09/100</f>
        <v>1.09E-2</v>
      </c>
      <c r="D9" s="214">
        <v>45317</v>
      </c>
      <c r="E9" s="215">
        <v>853409.2</v>
      </c>
      <c r="F9" s="216">
        <v>121915.6</v>
      </c>
      <c r="G9" s="217">
        <f t="shared" si="0"/>
        <v>13569.20628</v>
      </c>
    </row>
    <row r="10" spans="1:7" x14ac:dyDescent="0.2">
      <c r="A10" s="207" t="s">
        <v>1010</v>
      </c>
      <c r="B10" s="212">
        <v>2295000</v>
      </c>
      <c r="C10" s="213">
        <f>0.59/100</f>
        <v>5.8999999999999999E-3</v>
      </c>
      <c r="D10" s="214">
        <v>46048</v>
      </c>
      <c r="E10" s="215">
        <v>2295000</v>
      </c>
      <c r="F10" s="216">
        <v>229500</v>
      </c>
      <c r="G10" s="217">
        <f t="shared" si="0"/>
        <v>25015.5</v>
      </c>
    </row>
    <row r="11" spans="1:7" x14ac:dyDescent="0.2">
      <c r="A11" s="207" t="s">
        <v>1011</v>
      </c>
      <c r="B11" s="212">
        <v>2170000</v>
      </c>
      <c r="C11" s="213">
        <f>0.61/100</f>
        <v>6.0999999999999995E-3</v>
      </c>
      <c r="D11" s="214">
        <v>46260</v>
      </c>
      <c r="E11" s="215">
        <v>2170000</v>
      </c>
      <c r="F11" s="216">
        <v>0</v>
      </c>
      <c r="G11" s="217">
        <f t="shared" si="0"/>
        <v>24086.999999999996</v>
      </c>
    </row>
    <row r="12" spans="1:7" x14ac:dyDescent="0.2">
      <c r="A12" s="218" t="s">
        <v>1012</v>
      </c>
      <c r="B12" s="212">
        <f>SUM(B4:B11)</f>
        <v>14865745</v>
      </c>
      <c r="C12" s="219"/>
      <c r="D12" s="219"/>
      <c r="E12" s="220">
        <f>SUM(E4:E11)</f>
        <v>8664838.5</v>
      </c>
      <c r="F12" s="220">
        <f>SUM(F4:F11)</f>
        <v>1268698</v>
      </c>
      <c r="G12" s="220">
        <f>SUM(G4:G11)</f>
        <v>117071.7472675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3</vt:i4>
      </vt:variant>
    </vt:vector>
  </HeadingPairs>
  <TitlesOfParts>
    <vt:vector size="8" baseType="lpstr">
      <vt:lpstr>lisa 1</vt:lpstr>
      <vt:lpstr>lisa 2</vt:lpstr>
      <vt:lpstr>detailne info tegevusalade kulu</vt:lpstr>
      <vt:lpstr>detailne info tulud</vt:lpstr>
      <vt:lpstr>laenud</vt:lpstr>
      <vt:lpstr>'detailne info tegevusalade kulu'!Prinditiitlid</vt:lpstr>
      <vt:lpstr>'detailne info tulud'!Prinditiitlid</vt:lpstr>
      <vt:lpstr>'lisa 2'!Prinditiitlid</vt:lpstr>
    </vt:vector>
  </TitlesOfParts>
  <Company>Rahandusministeerium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Lii</cp:lastModifiedBy>
  <cp:lastPrinted>2017-04-17T11:19:11Z</cp:lastPrinted>
  <dcterms:created xsi:type="dcterms:W3CDTF">2011-11-11T10:25:57Z</dcterms:created>
  <dcterms:modified xsi:type="dcterms:W3CDTF">2017-04-26T07:17:20Z</dcterms:modified>
</cp:coreProperties>
</file>